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18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D:\working\waccache\CP1PEPF0000326D\EXCELCNV\125feab2-d6ae-44b1-a3d9-1d667947a5fa\"/>
    </mc:Choice>
  </mc:AlternateContent>
  <xr:revisionPtr revIDLastSave="0" documentId="8_{9109D38A-0565-487A-B6DA-F6D27D02D3C9}" xr6:coauthVersionLast="47" xr6:coauthVersionMax="47" xr10:uidLastSave="{00000000-0000-0000-0000-000000000000}"/>
  <bookViews>
    <workbookView xWindow="-60" yWindow="-60" windowWidth="15480" windowHeight="11640" tabRatio="915" xr2:uid="{00000000-000D-0000-FFFF-FFFF00000000}"/>
  </bookViews>
  <sheets>
    <sheet name="ORÇAMENTO SINT " sheetId="62" r:id="rId1"/>
    <sheet name="COMP CUSTOS_SLS" sheetId="48" r:id="rId2"/>
    <sheet name="COMP CUSTOS_ITS_BAL" sheetId="63" r:id="rId3"/>
    <sheet name="MOD TRIBUTOS" sheetId="57" r:id="rId4"/>
    <sheet name="ORÇAMENTO" sheetId="1" state="hidden" r:id="rId5"/>
    <sheet name="MOD BDI" sheetId="28" state="hidden" r:id="rId6"/>
    <sheet name="MOD ENCARGOS SOCIAIS" sheetId="8" state="hidden" r:id="rId7"/>
    <sheet name="CRONOGRAMA" sheetId="9" state="hidden" r:id="rId8"/>
    <sheet name="MOD CRONOGRAMA" sheetId="30" state="hidden" r:id="rId9"/>
    <sheet name="COMP CUSTO" sheetId="11" state="hidden" r:id="rId10"/>
    <sheet name="MOD COMP CUSTO" sheetId="12" state="hidden" r:id="rId11"/>
    <sheet name="Plan4" sheetId="39" state="hidden" r:id="rId12"/>
    <sheet name="ENC SOCIAIS" sheetId="60" r:id="rId13"/>
    <sheet name="Adicionais e Encargos compl" sheetId="44" r:id="rId14"/>
    <sheet name="Plan1" sheetId="45" state="hidden" r:id="rId15"/>
  </sheets>
  <definedNames>
    <definedName name="_xlnm.Print_Area" localSheetId="13">'Adicionais e Encargos compl'!$A$1:$F$56</definedName>
    <definedName name="_xlnm.Print_Area" localSheetId="9">'COMP CUSTO'!$A$1:$G$222</definedName>
    <definedName name="_xlnm.Print_Area" localSheetId="2">'COMP CUSTOS_ITS_BAL'!$A$1:$G$38</definedName>
    <definedName name="_xlnm.Print_Area" localSheetId="1">'COMP CUSTOS_SLS'!$A$1:$G$63</definedName>
    <definedName name="_xlnm.Print_Area" localSheetId="7">CRONOGRAMA!$A$1:$AC$79</definedName>
    <definedName name="_xlnm.Print_Area" localSheetId="12">'ENC SOCIAIS'!$A$1:$D$43</definedName>
    <definedName name="_xlnm.Print_Area" localSheetId="5">'MOD BDI'!$A$1:$E$38</definedName>
    <definedName name="_xlnm.Print_Area" localSheetId="10">'MOD COMP CUSTO'!$A$1:$F$52</definedName>
    <definedName name="_xlnm.Print_Area" localSheetId="8">'MOD CRONOGRAMA'!$A$1:$AC$78</definedName>
    <definedName name="_xlnm.Print_Area" localSheetId="6">'MOD ENCARGOS SOCIAIS'!$A$1:$E$51</definedName>
    <definedName name="_xlnm.Print_Area" localSheetId="3">'MOD TRIBUTOS'!$A$1:$E$20</definedName>
    <definedName name="_xlnm.Print_Area" localSheetId="4">ORÇAMENTO!$A$1:$J$143</definedName>
    <definedName name="_xlnm.Print_Area" localSheetId="0">'ORÇAMENTO SINT '!$A$1:$J$26</definedName>
    <definedName name="_xlnm.Print_Titles" localSheetId="9">'COMP CUSTO'!$1:$11</definedName>
    <definedName name="_xlnm.Print_Titles" localSheetId="2">'COMP CUSTOS_ITS_BAL'!$1:$7</definedName>
    <definedName name="_xlnm.Print_Titles" localSheetId="1">'COMP CUSTOS_SLS'!$1:$7</definedName>
    <definedName name="_xlnm.Print_Titles" localSheetId="7">CRONOGRAMA!$1:$9</definedName>
    <definedName name="_xlnm.Print_Titles" localSheetId="12">'ENC SOCIAIS'!$1:$7</definedName>
    <definedName name="_xlnm.Print_Titles" localSheetId="8">'MOD CRONOGRAMA'!$1:$9</definedName>
    <definedName name="_xlnm.Print_Titles" localSheetId="6">'MOD ENCARGOS SOCIAIS'!$1:$13</definedName>
    <definedName name="_xlnm.Print_Titles" localSheetId="4">ORÇAMENTO!$1:$10</definedName>
    <definedName name="_xlnm.Print_Titles" localSheetId="0">'ORÇAMENTO SINT '!$7:$7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63" l="1"/>
  <c r="E34" i="63"/>
  <c r="F33" i="63"/>
  <c r="E33" i="63"/>
  <c r="F32" i="63"/>
  <c r="E32" i="63"/>
  <c r="F31" i="63"/>
  <c r="E31" i="63"/>
  <c r="F30" i="63"/>
  <c r="E30" i="63"/>
  <c r="E29" i="63"/>
  <c r="E28" i="63"/>
  <c r="F22" i="63"/>
  <c r="G22" i="63"/>
  <c r="G23" i="63"/>
  <c r="B22" i="63"/>
  <c r="B21" i="63"/>
  <c r="A22" i="63"/>
  <c r="G21" i="63"/>
  <c r="A21" i="63"/>
  <c r="E17" i="63"/>
  <c r="E16" i="63"/>
  <c r="E15" i="63"/>
  <c r="F12" i="63"/>
  <c r="G9" i="63"/>
  <c r="G10" i="63"/>
  <c r="G11" i="63"/>
  <c r="B9" i="63"/>
  <c r="A9" i="63"/>
  <c r="E11" i="62"/>
  <c r="B11" i="62"/>
  <c r="E10" i="62"/>
  <c r="B10" i="62"/>
  <c r="E9" i="62"/>
  <c r="B9" i="62"/>
  <c r="G58" i="48"/>
  <c r="F56" i="48"/>
  <c r="F24" i="48"/>
  <c r="F12" i="48"/>
  <c r="B42" i="44"/>
  <c r="E13" i="63"/>
  <c r="E25" i="48"/>
  <c r="D41" i="60"/>
  <c r="D36" i="60"/>
  <c r="D27" i="60"/>
  <c r="D17" i="60"/>
  <c r="D43" i="60"/>
  <c r="E7" i="57"/>
  <c r="E61" i="48"/>
  <c r="E60" i="48"/>
  <c r="E59" i="48"/>
  <c r="E16" i="48"/>
  <c r="E15" i="48"/>
  <c r="E14" i="48"/>
  <c r="C9" i="44"/>
  <c r="C8" i="44"/>
  <c r="G9" i="48"/>
  <c r="G10" i="48"/>
  <c r="G11" i="48"/>
  <c r="D10" i="44"/>
  <c r="E9" i="44"/>
  <c r="D53" i="48"/>
  <c r="A53" i="48"/>
  <c r="A21" i="48"/>
  <c r="E29" i="48"/>
  <c r="E28" i="48"/>
  <c r="E27" i="48"/>
  <c r="G21" i="48"/>
  <c r="G22" i="48"/>
  <c r="G23" i="48"/>
  <c r="B21" i="48"/>
  <c r="B9" i="48"/>
  <c r="F90" i="11"/>
  <c r="E90" i="11"/>
  <c r="A90" i="11"/>
  <c r="A89" i="11"/>
  <c r="B89" i="11"/>
  <c r="B90" i="11"/>
  <c r="E102" i="11"/>
  <c r="E101" i="11"/>
  <c r="E100" i="11"/>
  <c r="E99" i="11"/>
  <c r="E98" i="11"/>
  <c r="E97" i="11"/>
  <c r="E96" i="11"/>
  <c r="E15" i="1"/>
  <c r="G125" i="11"/>
  <c r="E16" i="1"/>
  <c r="G105" i="11"/>
  <c r="E119" i="1"/>
  <c r="E118" i="1"/>
  <c r="E117" i="1"/>
  <c r="E116" i="1"/>
  <c r="G185" i="11"/>
  <c r="E115" i="1"/>
  <c r="E114" i="1"/>
  <c r="E113" i="1"/>
  <c r="E112" i="1"/>
  <c r="G149" i="11"/>
  <c r="G90" i="11"/>
  <c r="G91" i="11"/>
  <c r="E69" i="1"/>
  <c r="E63" i="1"/>
  <c r="E60" i="1"/>
  <c r="E57" i="1"/>
  <c r="E49" i="1"/>
  <c r="E48" i="1"/>
  <c r="E47" i="1"/>
  <c r="E46" i="1"/>
  <c r="E24" i="1"/>
  <c r="E20" i="1"/>
  <c r="G20" i="1"/>
  <c r="K18" i="1"/>
  <c r="E19" i="1"/>
  <c r="E102" i="1"/>
  <c r="E100" i="1"/>
  <c r="E98" i="1"/>
  <c r="E97" i="1"/>
  <c r="E96" i="1"/>
  <c r="E94" i="1"/>
  <c r="E93" i="1"/>
  <c r="E87" i="1"/>
  <c r="E86" i="1"/>
  <c r="E85" i="1"/>
  <c r="E83" i="1"/>
  <c r="E82" i="1"/>
  <c r="E79" i="1"/>
  <c r="E73" i="1"/>
  <c r="E72" i="1"/>
  <c r="E71" i="1"/>
  <c r="E70" i="1"/>
  <c r="E68" i="1"/>
  <c r="E67" i="1"/>
  <c r="E64" i="1"/>
  <c r="E55" i="1"/>
  <c r="E53" i="1"/>
  <c r="E52" i="1"/>
  <c r="E51" i="1"/>
  <c r="E50" i="1"/>
  <c r="E45" i="1"/>
  <c r="E44" i="1"/>
  <c r="E43" i="1"/>
  <c r="E42" i="1"/>
  <c r="E41" i="1"/>
  <c r="E40" i="1"/>
  <c r="E39" i="1"/>
  <c r="E38" i="1"/>
  <c r="G38" i="1"/>
  <c r="E37" i="1"/>
  <c r="E35" i="1"/>
  <c r="E34" i="1"/>
  <c r="E33" i="1"/>
  <c r="E32" i="1"/>
  <c r="E31" i="1"/>
  <c r="E30" i="1"/>
  <c r="E29" i="1"/>
  <c r="E28" i="1"/>
  <c r="E27" i="1"/>
  <c r="E26" i="1"/>
  <c r="E25" i="1"/>
  <c r="E22" i="1"/>
  <c r="G22" i="1"/>
  <c r="E21" i="1"/>
  <c r="G21" i="1"/>
  <c r="B53" i="48"/>
  <c r="G49" i="48"/>
  <c r="E46" i="48"/>
  <c r="E45" i="48"/>
  <c r="E44" i="48"/>
  <c r="E43" i="48"/>
  <c r="E42" i="48"/>
  <c r="E41" i="48"/>
  <c r="E40" i="48"/>
  <c r="F34" i="48"/>
  <c r="G34" i="48"/>
  <c r="G35" i="48"/>
  <c r="B34" i="48"/>
  <c r="B33" i="48"/>
  <c r="A34" i="48"/>
  <c r="G33" i="48"/>
  <c r="A33" i="48"/>
  <c r="A9" i="48"/>
  <c r="A212" i="11"/>
  <c r="A213" i="11"/>
  <c r="B212" i="11"/>
  <c r="G221" i="11"/>
  <c r="J194" i="11"/>
  <c r="I194" i="11"/>
  <c r="M112" i="1"/>
  <c r="E103" i="1"/>
  <c r="E101" i="1"/>
  <c r="E88" i="1"/>
  <c r="E74" i="1"/>
  <c r="E62" i="1"/>
  <c r="G62" i="1"/>
  <c r="E58" i="1"/>
  <c r="G58" i="1"/>
  <c r="E107" i="1"/>
  <c r="E77" i="1"/>
  <c r="E76" i="1"/>
  <c r="G76" i="1"/>
  <c r="E75" i="1"/>
  <c r="G75" i="1"/>
  <c r="E66" i="1"/>
  <c r="G66" i="1"/>
  <c r="E65" i="1"/>
  <c r="E23" i="1"/>
  <c r="E36" i="1"/>
  <c r="G36" i="1"/>
  <c r="E54" i="1"/>
  <c r="E56" i="1"/>
  <c r="E59" i="1"/>
  <c r="E61" i="1"/>
  <c r="E81" i="1"/>
  <c r="E90" i="1"/>
  <c r="E78" i="1"/>
  <c r="E99" i="1"/>
  <c r="E95" i="1"/>
  <c r="E84" i="1"/>
  <c r="E91" i="1"/>
  <c r="E89" i="1"/>
  <c r="E92" i="1"/>
  <c r="E80" i="1"/>
  <c r="E106" i="1"/>
  <c r="K107" i="1"/>
  <c r="L18" i="1"/>
  <c r="M18" i="1"/>
  <c r="M104" i="1"/>
  <c r="F104" i="1"/>
  <c r="G104" i="1"/>
  <c r="F59" i="1"/>
  <c r="M48" i="1"/>
  <c r="F48" i="1"/>
  <c r="G48" i="1"/>
  <c r="M20" i="1"/>
  <c r="M21" i="1"/>
  <c r="M24" i="1"/>
  <c r="M25" i="1"/>
  <c r="F25" i="1"/>
  <c r="G25" i="1"/>
  <c r="M27" i="1"/>
  <c r="F27" i="1"/>
  <c r="G27" i="1" s="1"/>
  <c r="M29" i="1"/>
  <c r="F29" i="1"/>
  <c r="G29" i="1"/>
  <c r="M31" i="1"/>
  <c r="F31" i="1"/>
  <c r="M33" i="1"/>
  <c r="F33" i="1"/>
  <c r="G33" i="1"/>
  <c r="M35" i="1"/>
  <c r="F35" i="1"/>
  <c r="G35" i="1"/>
  <c r="M38" i="1"/>
  <c r="M39" i="1"/>
  <c r="F39" i="1"/>
  <c r="M41" i="1"/>
  <c r="F41" i="1"/>
  <c r="G41" i="1"/>
  <c r="M43" i="1"/>
  <c r="F43" i="1"/>
  <c r="G43" i="1"/>
  <c r="M45" i="1"/>
  <c r="F45" i="1"/>
  <c r="G45" i="1"/>
  <c r="M47" i="1"/>
  <c r="F47" i="1"/>
  <c r="G47" i="1"/>
  <c r="M50" i="1"/>
  <c r="F50" i="1"/>
  <c r="G50" i="1" s="1"/>
  <c r="M52" i="1"/>
  <c r="F52" i="1"/>
  <c r="M54" i="1"/>
  <c r="M55" i="1"/>
  <c r="F55" i="1"/>
  <c r="M57" i="1"/>
  <c r="F57" i="1"/>
  <c r="G57" i="1"/>
  <c r="M60" i="1"/>
  <c r="M61" i="1"/>
  <c r="M64" i="1"/>
  <c r="M67" i="1"/>
  <c r="F67" i="1"/>
  <c r="G67" i="1"/>
  <c r="M69" i="1"/>
  <c r="F69" i="1"/>
  <c r="G69" i="1"/>
  <c r="M71" i="1"/>
  <c r="M72" i="1"/>
  <c r="M74" i="1"/>
  <c r="M75" i="1"/>
  <c r="M78" i="1"/>
  <c r="F78" i="1"/>
  <c r="M80" i="1"/>
  <c r="F80" i="1"/>
  <c r="G80" i="1"/>
  <c r="M82" i="1"/>
  <c r="F82" i="1"/>
  <c r="M84" i="1"/>
  <c r="F84" i="1"/>
  <c r="G84" i="1"/>
  <c r="M86" i="1"/>
  <c r="F86" i="1"/>
  <c r="M88" i="1"/>
  <c r="F88" i="1"/>
  <c r="G88" i="1"/>
  <c r="M90" i="1"/>
  <c r="F90" i="1"/>
  <c r="G90" i="1"/>
  <c r="M92" i="1"/>
  <c r="F92" i="1"/>
  <c r="G92" i="1"/>
  <c r="M94" i="1"/>
  <c r="F94" i="1"/>
  <c r="M96" i="1"/>
  <c r="F96" i="1"/>
  <c r="M98" i="1"/>
  <c r="F98" i="1"/>
  <c r="M100" i="1"/>
  <c r="F100" i="1"/>
  <c r="G100" i="1"/>
  <c r="M102" i="1"/>
  <c r="F102" i="1"/>
  <c r="G102" i="1"/>
  <c r="M105" i="1"/>
  <c r="M108" i="1"/>
  <c r="M19" i="1"/>
  <c r="F19" i="1"/>
  <c r="G19" i="1"/>
  <c r="G107" i="1"/>
  <c r="G106" i="1"/>
  <c r="F105" i="1"/>
  <c r="G105" i="1"/>
  <c r="G82" i="1"/>
  <c r="G72" i="1"/>
  <c r="G71" i="1"/>
  <c r="G86" i="1"/>
  <c r="G74" i="1"/>
  <c r="G77" i="1"/>
  <c r="E13" i="1"/>
  <c r="E14" i="1"/>
  <c r="G86" i="11"/>
  <c r="A154" i="11"/>
  <c r="F153" i="11"/>
  <c r="G153" i="11"/>
  <c r="E108" i="1"/>
  <c r="G108" i="1"/>
  <c r="F177" i="11"/>
  <c r="G177" i="11"/>
  <c r="F165" i="11"/>
  <c r="A141" i="11"/>
  <c r="G218" i="11"/>
  <c r="G219" i="11"/>
  <c r="B213" i="11"/>
  <c r="I188" i="11"/>
  <c r="B188" i="11"/>
  <c r="Q123" i="11"/>
  <c r="Q116" i="11"/>
  <c r="Q117" i="11"/>
  <c r="Q118" i="11"/>
  <c r="Q119" i="11"/>
  <c r="Q120" i="11"/>
  <c r="Q111" i="11"/>
  <c r="Q112" i="11"/>
  <c r="Q113" i="11"/>
  <c r="P115" i="11"/>
  <c r="Q115" i="11"/>
  <c r="P114" i="11"/>
  <c r="Q114" i="11"/>
  <c r="Q109" i="11"/>
  <c r="Q110" i="11"/>
  <c r="Q108" i="11"/>
  <c r="S108" i="11" s="1"/>
  <c r="S109" i="11" s="1"/>
  <c r="P158" i="11"/>
  <c r="R158" i="11"/>
  <c r="R155" i="11"/>
  <c r="R151" i="11"/>
  <c r="R146" i="11"/>
  <c r="P162" i="11"/>
  <c r="R162" i="11"/>
  <c r="A165" i="11"/>
  <c r="A201" i="11"/>
  <c r="A200" i="11"/>
  <c r="B200" i="11"/>
  <c r="B201" i="11"/>
  <c r="G206" i="11"/>
  <c r="G207" i="11"/>
  <c r="G201" i="11"/>
  <c r="G204" i="11"/>
  <c r="G205" i="11"/>
  <c r="E12" i="1"/>
  <c r="G28" i="11"/>
  <c r="G197" i="11"/>
  <c r="G178" i="11"/>
  <c r="G180" i="11" s="1"/>
  <c r="G181" i="11" s="1"/>
  <c r="A178" i="11"/>
  <c r="B10" i="45"/>
  <c r="B6" i="45"/>
  <c r="B7" i="45"/>
  <c r="B11" i="45"/>
  <c r="B15" i="45"/>
  <c r="E121" i="11"/>
  <c r="E82" i="11"/>
  <c r="E63" i="11"/>
  <c r="E44" i="11"/>
  <c r="E24" i="11"/>
  <c r="E34" i="44"/>
  <c r="G142" i="11"/>
  <c r="A142" i="11"/>
  <c r="G154" i="11"/>
  <c r="G156" i="11" s="1"/>
  <c r="A190" i="11"/>
  <c r="G190" i="11"/>
  <c r="A189" i="11"/>
  <c r="A188" i="11"/>
  <c r="B189" i="11"/>
  <c r="G194" i="11"/>
  <c r="G195" i="11"/>
  <c r="G189" i="11"/>
  <c r="G192" i="11" s="1"/>
  <c r="G193" i="11" s="1"/>
  <c r="B176" i="11"/>
  <c r="B177" i="11"/>
  <c r="A177" i="11"/>
  <c r="A176" i="11"/>
  <c r="G182" i="11"/>
  <c r="G183" i="11"/>
  <c r="B164" i="11"/>
  <c r="B165" i="11"/>
  <c r="A164" i="11"/>
  <c r="G170" i="11"/>
  <c r="G171" i="11"/>
  <c r="G165" i="11"/>
  <c r="G168" i="11"/>
  <c r="G169" i="11"/>
  <c r="G172" i="11"/>
  <c r="B152" i="11"/>
  <c r="B153" i="11"/>
  <c r="A152" i="11"/>
  <c r="G161" i="11"/>
  <c r="G158" i="11"/>
  <c r="G159" i="11"/>
  <c r="B140" i="11"/>
  <c r="B141" i="11"/>
  <c r="A140" i="11"/>
  <c r="G146" i="11"/>
  <c r="G147" i="11"/>
  <c r="G141" i="11"/>
  <c r="G144" i="11"/>
  <c r="G145" i="11" s="1"/>
  <c r="G148" i="11" s="1"/>
  <c r="F112" i="1" s="1"/>
  <c r="G112" i="1" s="1"/>
  <c r="G134" i="11"/>
  <c r="G157" i="11"/>
  <c r="G160" i="11"/>
  <c r="E119" i="11"/>
  <c r="E80" i="11"/>
  <c r="E61" i="11"/>
  <c r="E42" i="11"/>
  <c r="E22" i="11"/>
  <c r="B7" i="11"/>
  <c r="F52" i="11"/>
  <c r="G52" i="11"/>
  <c r="G53" i="11"/>
  <c r="G51" i="11"/>
  <c r="F110" i="11"/>
  <c r="G110" i="11"/>
  <c r="G111" i="11"/>
  <c r="B109" i="11"/>
  <c r="B110" i="11"/>
  <c r="A109" i="11"/>
  <c r="A110" i="11"/>
  <c r="F71" i="11"/>
  <c r="G71" i="11"/>
  <c r="G72" i="11"/>
  <c r="A70" i="11"/>
  <c r="A71" i="11"/>
  <c r="B70" i="11"/>
  <c r="B71" i="11"/>
  <c r="E122" i="11"/>
  <c r="E120" i="11"/>
  <c r="E118" i="11"/>
  <c r="E117" i="11"/>
  <c r="E116" i="11"/>
  <c r="E83" i="11"/>
  <c r="E81" i="11"/>
  <c r="E79" i="11"/>
  <c r="E78" i="11"/>
  <c r="E77" i="11"/>
  <c r="F33" i="11"/>
  <c r="G33" i="11"/>
  <c r="G34" i="11"/>
  <c r="F13" i="11"/>
  <c r="H13" i="11"/>
  <c r="J13" i="11"/>
  <c r="E64" i="11"/>
  <c r="E62" i="11"/>
  <c r="E60" i="11"/>
  <c r="E59" i="11"/>
  <c r="E58" i="11"/>
  <c r="E45" i="11"/>
  <c r="E43" i="11"/>
  <c r="E41" i="11"/>
  <c r="E40" i="11"/>
  <c r="E39" i="11"/>
  <c r="G15" i="11"/>
  <c r="E25" i="11"/>
  <c r="E23" i="11"/>
  <c r="E21" i="11"/>
  <c r="E20" i="11"/>
  <c r="E19" i="11"/>
  <c r="A32" i="11"/>
  <c r="A33" i="11"/>
  <c r="B33" i="11"/>
  <c r="B32" i="11"/>
  <c r="E33" i="44"/>
  <c r="E35" i="44"/>
  <c r="G13" i="11"/>
  <c r="G14" i="11"/>
  <c r="G137" i="11"/>
  <c r="A128" i="11"/>
  <c r="A129" i="11"/>
  <c r="B129" i="11"/>
  <c r="G135" i="11"/>
  <c r="G129" i="11"/>
  <c r="G132" i="11"/>
  <c r="G133" i="11"/>
  <c r="G136" i="11"/>
  <c r="B128" i="11"/>
  <c r="A1" i="45"/>
  <c r="G37" i="1"/>
  <c r="G26" i="1"/>
  <c r="G24" i="1"/>
  <c r="G23" i="1"/>
  <c r="B13" i="11"/>
  <c r="A12" i="11"/>
  <c r="A13" i="11"/>
  <c r="A51" i="11"/>
  <c r="G67" i="11"/>
  <c r="B12" i="11"/>
  <c r="A52" i="11"/>
  <c r="B52" i="11"/>
  <c r="B51" i="11"/>
  <c r="G48" i="11"/>
  <c r="F101" i="11"/>
  <c r="F100" i="11"/>
  <c r="F99" i="11"/>
  <c r="F45" i="48"/>
  <c r="G45" i="48"/>
  <c r="F120" i="11"/>
  <c r="F44" i="48"/>
  <c r="F61" i="11"/>
  <c r="G61" i="11"/>
  <c r="F43" i="48"/>
  <c r="F22" i="11"/>
  <c r="F62" i="11"/>
  <c r="G62" i="11"/>
  <c r="F79" i="11"/>
  <c r="F80" i="11"/>
  <c r="F21" i="11"/>
  <c r="G21" i="11"/>
  <c r="F41" i="11"/>
  <c r="F118" i="11"/>
  <c r="F42" i="11"/>
  <c r="F119" i="11"/>
  <c r="F23" i="11"/>
  <c r="G23" i="11"/>
  <c r="F43" i="11"/>
  <c r="F81" i="11"/>
  <c r="G81" i="11"/>
  <c r="F24" i="11"/>
  <c r="F121" i="11"/>
  <c r="F63" i="11"/>
  <c r="F82" i="11"/>
  <c r="F44" i="11"/>
  <c r="F98" i="11"/>
  <c r="G98" i="11"/>
  <c r="F60" i="11"/>
  <c r="F16" i="1"/>
  <c r="G16" i="1"/>
  <c r="F42" i="48"/>
  <c r="G5" i="39"/>
  <c r="G4" i="39"/>
  <c r="G7" i="39" s="1"/>
  <c r="G61" i="1"/>
  <c r="F13" i="12"/>
  <c r="G9" i="11"/>
  <c r="Y7" i="30"/>
  <c r="U7" i="30"/>
  <c r="U7" i="9"/>
  <c r="Y7" i="9"/>
  <c r="E13" i="8"/>
  <c r="E12" i="28"/>
  <c r="G53" i="1"/>
  <c r="G54" i="1"/>
  <c r="G52" i="1"/>
  <c r="G56" i="1"/>
  <c r="G64" i="1"/>
  <c r="G65" i="1"/>
  <c r="G60" i="1"/>
  <c r="G77" i="30"/>
  <c r="G76" i="30"/>
  <c r="G78" i="30"/>
  <c r="D78" i="30"/>
  <c r="B31" i="30"/>
  <c r="A31" i="30"/>
  <c r="B28" i="30"/>
  <c r="A28" i="30"/>
  <c r="AD27" i="30"/>
  <c r="B25" i="30"/>
  <c r="A25" i="30"/>
  <c r="AD24" i="30"/>
  <c r="B22" i="30"/>
  <c r="A22" i="30"/>
  <c r="AD21" i="30"/>
  <c r="B19" i="30"/>
  <c r="A19" i="30"/>
  <c r="AD18" i="30"/>
  <c r="B16" i="30"/>
  <c r="A16" i="30"/>
  <c r="AD15" i="30"/>
  <c r="B13" i="30"/>
  <c r="A13" i="30"/>
  <c r="AD12" i="30"/>
  <c r="B10" i="30"/>
  <c r="A10" i="30"/>
  <c r="O7" i="30"/>
  <c r="J7" i="30"/>
  <c r="O2" i="30"/>
  <c r="AD18" i="9"/>
  <c r="AD21" i="9"/>
  <c r="AD24" i="9"/>
  <c r="AD27" i="9"/>
  <c r="AD15" i="9"/>
  <c r="AD12" i="9"/>
  <c r="B31" i="9"/>
  <c r="A31" i="9"/>
  <c r="B28" i="9"/>
  <c r="A28" i="9"/>
  <c r="B25" i="9"/>
  <c r="A25" i="9"/>
  <c r="B22" i="9"/>
  <c r="A22" i="9"/>
  <c r="B19" i="9"/>
  <c r="A19" i="9"/>
  <c r="B16" i="9"/>
  <c r="A16" i="9"/>
  <c r="B13" i="9"/>
  <c r="A13" i="9"/>
  <c r="AD13" i="30"/>
  <c r="D12" i="28"/>
  <c r="C12" i="28"/>
  <c r="C7" i="28"/>
  <c r="D77" i="30"/>
  <c r="AD10" i="30"/>
  <c r="AD76" i="30"/>
  <c r="G59" i="1"/>
  <c r="D13" i="12"/>
  <c r="E9" i="11"/>
  <c r="O7" i="9"/>
  <c r="D13" i="8"/>
  <c r="B10" i="9"/>
  <c r="A10" i="9"/>
  <c r="B13" i="12"/>
  <c r="B7" i="12"/>
  <c r="B9" i="11"/>
  <c r="O2" i="9"/>
  <c r="J7" i="9"/>
  <c r="C13" i="8"/>
  <c r="C7" i="8"/>
  <c r="B79" i="30"/>
  <c r="B80" i="9"/>
  <c r="F126" i="1"/>
  <c r="E8" i="44"/>
  <c r="E10" i="44"/>
  <c r="B49" i="44"/>
  <c r="F13" i="63"/>
  <c r="F115" i="1"/>
  <c r="G120" i="11"/>
  <c r="G115" i="11"/>
  <c r="B13" i="45"/>
  <c r="G196" i="11"/>
  <c r="G121" i="11"/>
  <c r="G24" i="11"/>
  <c r="G13" i="63"/>
  <c r="G27" i="63"/>
  <c r="G29" i="63"/>
  <c r="F25" i="48"/>
  <c r="G25" i="48"/>
  <c r="G63" i="11"/>
  <c r="G37" i="48"/>
  <c r="G39" i="48"/>
  <c r="G94" i="1"/>
  <c r="M22" i="1"/>
  <c r="M28" i="1"/>
  <c r="F28" i="1"/>
  <c r="G28" i="1"/>
  <c r="M30" i="1"/>
  <c r="F30" i="1"/>
  <c r="G30" i="1" s="1"/>
  <c r="M32" i="1"/>
  <c r="F32" i="1"/>
  <c r="G32" i="1"/>
  <c r="M34" i="1"/>
  <c r="F34" i="1"/>
  <c r="G34" i="1" s="1"/>
  <c r="M36" i="1"/>
  <c r="M58" i="1"/>
  <c r="M62" i="1"/>
  <c r="M65" i="1"/>
  <c r="M68" i="1"/>
  <c r="F68" i="1"/>
  <c r="M70" i="1"/>
  <c r="F70" i="1"/>
  <c r="G70" i="1"/>
  <c r="M73" i="1"/>
  <c r="F73" i="1"/>
  <c r="G73" i="1"/>
  <c r="M76" i="1"/>
  <c r="M79" i="1"/>
  <c r="F79" i="1"/>
  <c r="G79" i="1" s="1"/>
  <c r="M81" i="1"/>
  <c r="F81" i="1"/>
  <c r="G81" i="1"/>
  <c r="M83" i="1"/>
  <c r="F83" i="1"/>
  <c r="G83" i="1"/>
  <c r="M85" i="1"/>
  <c r="F85" i="1"/>
  <c r="G85" i="1"/>
  <c r="M87" i="1"/>
  <c r="F87" i="1"/>
  <c r="G87" i="1"/>
  <c r="M89" i="1"/>
  <c r="F89" i="1"/>
  <c r="M106" i="1"/>
  <c r="M23" i="1"/>
  <c r="M26" i="1"/>
  <c r="M37" i="1"/>
  <c r="M40" i="1"/>
  <c r="F40" i="1"/>
  <c r="G40" i="1"/>
  <c r="M42" i="1"/>
  <c r="F42" i="1"/>
  <c r="G42" i="1"/>
  <c r="M44" i="1"/>
  <c r="F44" i="1"/>
  <c r="G44" i="1"/>
  <c r="M46" i="1"/>
  <c r="F46" i="1"/>
  <c r="G46" i="1"/>
  <c r="M49" i="1"/>
  <c r="F49" i="1"/>
  <c r="G49" i="1"/>
  <c r="M51" i="1"/>
  <c r="F51" i="1"/>
  <c r="G51" i="1"/>
  <c r="M53" i="1"/>
  <c r="M56" i="1"/>
  <c r="M59" i="1"/>
  <c r="M63" i="1"/>
  <c r="F63" i="1"/>
  <c r="G63" i="1"/>
  <c r="M66" i="1"/>
  <c r="M77" i="1"/>
  <c r="M91" i="1"/>
  <c r="F91" i="1"/>
  <c r="G91" i="1"/>
  <c r="M93" i="1"/>
  <c r="F93" i="1"/>
  <c r="G93" i="1"/>
  <c r="M95" i="1"/>
  <c r="F95" i="1"/>
  <c r="G95" i="1"/>
  <c r="M97" i="1"/>
  <c r="F97" i="1"/>
  <c r="G97" i="1"/>
  <c r="M99" i="1"/>
  <c r="F99" i="1"/>
  <c r="G99" i="1"/>
  <c r="M101" i="1"/>
  <c r="F101" i="1"/>
  <c r="M103" i="1"/>
  <c r="F103" i="1"/>
  <c r="M107" i="1"/>
  <c r="J195" i="11"/>
  <c r="F213" i="11"/>
  <c r="G213" i="11"/>
  <c r="G216" i="11"/>
  <c r="G217" i="11"/>
  <c r="G220" i="11"/>
  <c r="G222" i="11"/>
  <c r="T146" i="11"/>
  <c r="T147" i="11"/>
  <c r="G150" i="11"/>
  <c r="G38" i="48"/>
  <c r="F114" i="1"/>
  <c r="G114" i="1"/>
  <c r="G138" i="11"/>
  <c r="G12" i="63"/>
  <c r="G14" i="63"/>
  <c r="F117" i="1"/>
  <c r="G117" i="1"/>
  <c r="I186" i="11"/>
  <c r="Q124" i="11"/>
  <c r="G53" i="48"/>
  <c r="G54" i="48"/>
  <c r="G55" i="48"/>
  <c r="C19" i="9"/>
  <c r="C22" i="9"/>
  <c r="T22" i="9"/>
  <c r="C31" i="9"/>
  <c r="C25" i="9"/>
  <c r="D25" i="9"/>
  <c r="C28" i="9"/>
  <c r="C13" i="9"/>
  <c r="X13" i="9"/>
  <c r="C10" i="9"/>
  <c r="G42" i="11"/>
  <c r="G44" i="11"/>
  <c r="G41" i="11"/>
  <c r="G36" i="11"/>
  <c r="G38" i="11"/>
  <c r="G43" i="11"/>
  <c r="G79" i="11"/>
  <c r="G82" i="11"/>
  <c r="G76" i="11"/>
  <c r="G80" i="11"/>
  <c r="G55" i="1"/>
  <c r="G96" i="1"/>
  <c r="H11" i="48"/>
  <c r="G12" i="48"/>
  <c r="F113" i="1"/>
  <c r="G113" i="1"/>
  <c r="G162" i="11"/>
  <c r="G103" i="1"/>
  <c r="G101" i="11"/>
  <c r="G99" i="11"/>
  <c r="G93" i="11"/>
  <c r="G100" i="11"/>
  <c r="G95" i="11"/>
  <c r="G115" i="1"/>
  <c r="G173" i="11"/>
  <c r="G174" i="11"/>
  <c r="G209" i="11"/>
  <c r="G24" i="48"/>
  <c r="G26" i="48"/>
  <c r="G198" i="11"/>
  <c r="G74" i="11"/>
  <c r="C16" i="9"/>
  <c r="G16" i="9"/>
  <c r="G118" i="11"/>
  <c r="G119" i="11"/>
  <c r="G113" i="11"/>
  <c r="G60" i="11"/>
  <c r="G57" i="11"/>
  <c r="G55" i="11"/>
  <c r="R163" i="11"/>
  <c r="G89" i="1"/>
  <c r="G43" i="48"/>
  <c r="G42" i="48"/>
  <c r="G44" i="48"/>
  <c r="G41" i="48"/>
  <c r="G31" i="1"/>
  <c r="G39" i="1"/>
  <c r="C10" i="44"/>
  <c r="C11" i="44"/>
  <c r="G32" i="63"/>
  <c r="G30" i="63"/>
  <c r="G25" i="63"/>
  <c r="G31" i="63"/>
  <c r="G33" i="63"/>
  <c r="G208" i="11"/>
  <c r="G78" i="1"/>
  <c r="G98" i="1"/>
  <c r="G17" i="11"/>
  <c r="G16" i="11"/>
  <c r="G18" i="11"/>
  <c r="G22" i="11"/>
  <c r="G101" i="1"/>
  <c r="G68" i="1"/>
  <c r="G26" i="63"/>
  <c r="G114" i="11"/>
  <c r="J16" i="9"/>
  <c r="V16" i="9"/>
  <c r="X16" i="9"/>
  <c r="P16" i="9"/>
  <c r="L16" i="9"/>
  <c r="N16" i="9"/>
  <c r="G94" i="11"/>
  <c r="G37" i="11"/>
  <c r="T10" i="9"/>
  <c r="T76" i="9"/>
  <c r="Z10" i="9"/>
  <c r="Z76" i="9"/>
  <c r="V10" i="9"/>
  <c r="V76" i="9"/>
  <c r="L10" i="9"/>
  <c r="L76" i="9"/>
  <c r="P10" i="9"/>
  <c r="P76" i="9"/>
  <c r="D10" i="9"/>
  <c r="J10" i="9"/>
  <c r="J76" i="9"/>
  <c r="C76" i="9"/>
  <c r="C33" i="9"/>
  <c r="G10" i="9"/>
  <c r="G76" i="9"/>
  <c r="R10" i="9"/>
  <c r="R76" i="9"/>
  <c r="AB10" i="9"/>
  <c r="AB76" i="9"/>
  <c r="X10" i="9"/>
  <c r="X76" i="9"/>
  <c r="N10" i="9"/>
  <c r="N76" i="9"/>
  <c r="AB31" i="9"/>
  <c r="F118" i="1"/>
  <c r="G118" i="1"/>
  <c r="G210" i="11"/>
  <c r="G56" i="11"/>
  <c r="G75" i="11"/>
  <c r="V13" i="9"/>
  <c r="T13" i="9"/>
  <c r="AB13" i="9"/>
  <c r="P13" i="9"/>
  <c r="D13" i="9"/>
  <c r="AD13" i="9"/>
  <c r="Z13" i="9"/>
  <c r="G22" i="9"/>
  <c r="J22" i="9"/>
  <c r="X22" i="9"/>
  <c r="C24" i="9"/>
  <c r="L22" i="9"/>
  <c r="D22" i="9"/>
  <c r="R22" i="9"/>
  <c r="D28" i="9"/>
  <c r="C30" i="9"/>
  <c r="G19" i="9"/>
  <c r="T19" i="9"/>
  <c r="D19" i="9"/>
  <c r="Z19" i="9"/>
  <c r="AB19" i="9"/>
  <c r="X19" i="9"/>
  <c r="L19" i="9"/>
  <c r="V19" i="9"/>
  <c r="R19" i="9"/>
  <c r="J19" i="9"/>
  <c r="P19" i="9"/>
  <c r="N19" i="9"/>
  <c r="B15" i="44"/>
  <c r="B17" i="44"/>
  <c r="F27" i="48"/>
  <c r="G27" i="48"/>
  <c r="B22" i="44"/>
  <c r="B24" i="44"/>
  <c r="B28" i="44"/>
  <c r="B29" i="44"/>
  <c r="F17" i="63"/>
  <c r="G17" i="63"/>
  <c r="G13" i="48"/>
  <c r="Z25" i="9"/>
  <c r="C27" i="9"/>
  <c r="J25" i="9"/>
  <c r="AB25" i="9"/>
  <c r="X25" i="9"/>
  <c r="V25" i="9"/>
  <c r="N25" i="9"/>
  <c r="G56" i="48"/>
  <c r="G57" i="48"/>
  <c r="F116" i="11"/>
  <c r="G116" i="11"/>
  <c r="F58" i="11"/>
  <c r="G58" i="11"/>
  <c r="F14" i="48"/>
  <c r="G14" i="48"/>
  <c r="F15" i="63"/>
  <c r="G15" i="63"/>
  <c r="F59" i="48"/>
  <c r="G59" i="48"/>
  <c r="F19" i="11"/>
  <c r="G19" i="11"/>
  <c r="F40" i="48"/>
  <c r="G40" i="48"/>
  <c r="G47" i="48"/>
  <c r="G48" i="48"/>
  <c r="G50" i="48"/>
  <c r="F28" i="63"/>
  <c r="G28" i="63"/>
  <c r="G35" i="63"/>
  <c r="G36" i="63"/>
  <c r="G38" i="63"/>
  <c r="T77" i="9"/>
  <c r="G11" i="62"/>
  <c r="F25" i="11"/>
  <c r="G25" i="11"/>
  <c r="F122" i="11"/>
  <c r="G122" i="11"/>
  <c r="F29" i="48"/>
  <c r="G29" i="48"/>
  <c r="F83" i="11"/>
  <c r="G83" i="11"/>
  <c r="F16" i="48"/>
  <c r="G16" i="48"/>
  <c r="F61" i="48"/>
  <c r="G61" i="48"/>
  <c r="F34" i="63"/>
  <c r="G34" i="63"/>
  <c r="F46" i="48"/>
  <c r="G46" i="48"/>
  <c r="F45" i="11"/>
  <c r="G45" i="11"/>
  <c r="F64" i="11"/>
  <c r="G64" i="11"/>
  <c r="F102" i="11"/>
  <c r="G102" i="11"/>
  <c r="L77" i="9"/>
  <c r="F78" i="11"/>
  <c r="G78" i="11"/>
  <c r="F60" i="48"/>
  <c r="G60" i="48"/>
  <c r="F28" i="48"/>
  <c r="G28" i="48"/>
  <c r="F97" i="11"/>
  <c r="G97" i="11"/>
  <c r="F40" i="11"/>
  <c r="G40" i="11"/>
  <c r="F117" i="11"/>
  <c r="G117" i="11"/>
  <c r="G123" i="11" s="1"/>
  <c r="G124" i="11" s="1"/>
  <c r="F59" i="11"/>
  <c r="G59" i="11"/>
  <c r="F16" i="63"/>
  <c r="G16" i="63"/>
  <c r="F15" i="48"/>
  <c r="G15" i="48"/>
  <c r="F20" i="11"/>
  <c r="G20" i="11"/>
  <c r="AD10" i="9"/>
  <c r="D76" i="9"/>
  <c r="D78" i="9"/>
  <c r="D79" i="9"/>
  <c r="G9" i="62"/>
  <c r="G10" i="62"/>
  <c r="G8" i="62"/>
  <c r="D77" i="9"/>
  <c r="AD77" i="9"/>
  <c r="G14" i="62"/>
  <c r="G13" i="62"/>
  <c r="G17" i="62"/>
  <c r="G16" i="62"/>
  <c r="G20" i="62"/>
  <c r="G19" i="62"/>
  <c r="G22" i="62"/>
  <c r="H20" i="62"/>
  <c r="H19" i="62"/>
  <c r="G23" i="62"/>
  <c r="H11" i="62"/>
  <c r="H9" i="62"/>
  <c r="H10" i="62"/>
  <c r="H14" i="62"/>
  <c r="H13" i="62"/>
  <c r="H17" i="62"/>
  <c r="H16" i="62"/>
  <c r="H8" i="62"/>
  <c r="H22" i="62"/>
  <c r="G65" i="11"/>
  <c r="G66" i="11"/>
  <c r="G68" i="11"/>
  <c r="F39" i="11"/>
  <c r="G39" i="11"/>
  <c r="G46" i="11"/>
  <c r="G47" i="11"/>
  <c r="F96" i="11"/>
  <c r="G96" i="11"/>
  <c r="G103" i="11"/>
  <c r="G104" i="11"/>
  <c r="G106" i="11"/>
  <c r="F77" i="11"/>
  <c r="G77" i="11"/>
  <c r="G84" i="11"/>
  <c r="G85" i="11"/>
  <c r="F14" i="1"/>
  <c r="G14" i="1"/>
  <c r="G87" i="11"/>
  <c r="G126" i="11"/>
  <c r="F15" i="1"/>
  <c r="G15" i="1"/>
  <c r="N77" i="9"/>
  <c r="AB77" i="9"/>
  <c r="G78" i="9"/>
  <c r="G79" i="9"/>
  <c r="G77" i="9"/>
  <c r="J77" i="9"/>
  <c r="G17" i="48"/>
  <c r="G18" i="48"/>
  <c r="G62" i="48"/>
  <c r="G63" i="48"/>
  <c r="G30" i="48"/>
  <c r="G31" i="48"/>
  <c r="F13" i="1"/>
  <c r="G13" i="1"/>
  <c r="G49" i="11"/>
  <c r="X77" i="9"/>
  <c r="R77" i="9"/>
  <c r="C15" i="9"/>
  <c r="C12" i="9"/>
  <c r="C77" i="9"/>
  <c r="R25" i="9"/>
  <c r="T25" i="9"/>
  <c r="G25" i="9"/>
  <c r="P25" i="9"/>
  <c r="L25" i="9"/>
  <c r="C21" i="9"/>
  <c r="N22" i="9"/>
  <c r="Z22" i="9"/>
  <c r="P22" i="9"/>
  <c r="AB22" i="9"/>
  <c r="V22" i="9"/>
  <c r="L13" i="9"/>
  <c r="J13" i="9"/>
  <c r="R13" i="9"/>
  <c r="N13" i="9"/>
  <c r="G13" i="9"/>
  <c r="C18" i="9"/>
  <c r="R16" i="9"/>
  <c r="D16" i="9"/>
  <c r="T16" i="9"/>
  <c r="AB16" i="9"/>
  <c r="Z16" i="9"/>
  <c r="J78" i="9"/>
  <c r="J79" i="9"/>
  <c r="L78" i="9"/>
  <c r="L79" i="9"/>
  <c r="N78" i="9"/>
  <c r="N79" i="9"/>
  <c r="P78" i="9"/>
  <c r="P79" i="9"/>
  <c r="R78" i="9"/>
  <c r="R79" i="9"/>
  <c r="T78" i="9"/>
  <c r="T79" i="9"/>
  <c r="V78" i="9"/>
  <c r="V79" i="9"/>
  <c r="X78" i="9"/>
  <c r="X79" i="9"/>
  <c r="Z78" i="9"/>
  <c r="Z79" i="9"/>
  <c r="AB78" i="9"/>
  <c r="AB79" i="9"/>
  <c r="G18" i="63" l="1"/>
  <c r="G19" i="63" s="1"/>
  <c r="Z77" i="9"/>
  <c r="V77" i="9"/>
  <c r="P77" i="9"/>
  <c r="G26" i="11"/>
  <c r="G27" i="11" s="1"/>
  <c r="G18" i="1"/>
  <c r="G184" i="11"/>
  <c r="G186" i="11" l="1"/>
  <c r="F116" i="1"/>
  <c r="G116" i="1" s="1"/>
  <c r="F12" i="1"/>
  <c r="G12" i="1" s="1"/>
  <c r="G29" i="11"/>
  <c r="G11" i="1" l="1"/>
  <c r="F122" i="1" s="1"/>
  <c r="G111" i="1"/>
  <c r="G124" i="1" s="1"/>
  <c r="H116" i="1"/>
  <c r="H71" i="1" l="1"/>
  <c r="H70" i="1"/>
  <c r="H69" i="1"/>
  <c r="H100" i="1"/>
  <c r="H97" i="1"/>
  <c r="H94" i="1"/>
  <c r="H22" i="1"/>
  <c r="H122" i="1"/>
  <c r="H20" i="1"/>
  <c r="H46" i="1"/>
  <c r="H49" i="1"/>
  <c r="H31" i="1"/>
  <c r="H79" i="1"/>
  <c r="H47" i="1"/>
  <c r="H77" i="1"/>
  <c r="H56" i="1"/>
  <c r="H63" i="1"/>
  <c r="H72" i="1"/>
  <c r="H27" i="1"/>
  <c r="H44" i="1"/>
  <c r="H91" i="1"/>
  <c r="H52" i="1"/>
  <c r="H104" i="1"/>
  <c r="H93" i="1"/>
  <c r="H23" i="1"/>
  <c r="H50" i="1"/>
  <c r="H61" i="1"/>
  <c r="H45" i="1"/>
  <c r="H68" i="1"/>
  <c r="H43" i="1"/>
  <c r="H41" i="1"/>
  <c r="H26" i="1"/>
  <c r="H84" i="1"/>
  <c r="H38" i="1"/>
  <c r="H16" i="1"/>
  <c r="H95" i="1"/>
  <c r="H60" i="1"/>
  <c r="H76" i="1"/>
  <c r="H83" i="1"/>
  <c r="H74" i="1"/>
  <c r="H106" i="1"/>
  <c r="H33" i="1"/>
  <c r="H32" i="1"/>
  <c r="H101" i="1"/>
  <c r="H89" i="1"/>
  <c r="H34" i="1"/>
  <c r="H102" i="1"/>
  <c r="H24" i="1"/>
  <c r="H98" i="1"/>
  <c r="H107" i="1"/>
  <c r="H42" i="1"/>
  <c r="H90" i="1"/>
  <c r="H57" i="1"/>
  <c r="H65" i="1"/>
  <c r="H87" i="1"/>
  <c r="H73" i="1"/>
  <c r="H78" i="1"/>
  <c r="H81" i="1"/>
  <c r="H19" i="1"/>
  <c r="H18" i="1" s="1"/>
  <c r="H51" i="1"/>
  <c r="H37" i="1"/>
  <c r="H75" i="1"/>
  <c r="H92" i="1"/>
  <c r="H80" i="1"/>
  <c r="H67" i="1"/>
  <c r="H28" i="1"/>
  <c r="H103" i="1"/>
  <c r="H48" i="1"/>
  <c r="H54" i="1"/>
  <c r="H96" i="1"/>
  <c r="H99" i="1"/>
  <c r="H59" i="1"/>
  <c r="H62" i="1"/>
  <c r="H40" i="1"/>
  <c r="H53" i="1"/>
  <c r="H105" i="1"/>
  <c r="H108" i="1"/>
  <c r="H25" i="1"/>
  <c r="H64" i="1"/>
  <c r="H29" i="1"/>
  <c r="H55" i="1"/>
  <c r="H85" i="1"/>
  <c r="H82" i="1"/>
  <c r="H86" i="1"/>
  <c r="H115" i="1"/>
  <c r="H66" i="1"/>
  <c r="H36" i="1"/>
  <c r="H39" i="1"/>
  <c r="H58" i="1"/>
  <c r="H30" i="1"/>
  <c r="H21" i="1"/>
  <c r="H112" i="1"/>
  <c r="H111" i="1" s="1"/>
  <c r="H88" i="1"/>
  <c r="H35" i="1"/>
  <c r="H117" i="1"/>
  <c r="G126" i="1"/>
  <c r="G128" i="1"/>
  <c r="H118" i="1"/>
  <c r="H114" i="1"/>
  <c r="H113" i="1"/>
  <c r="H14" i="1"/>
  <c r="H13" i="1"/>
  <c r="H15" i="1"/>
  <c r="H12" i="1"/>
  <c r="H11" i="1" s="1"/>
  <c r="K17" i="1" s="1"/>
  <c r="D22" i="28"/>
  <c r="K122" i="1"/>
</calcChain>
</file>

<file path=xl/sharedStrings.xml><?xml version="1.0" encoding="utf-8"?>
<sst xmlns="http://schemas.openxmlformats.org/spreadsheetml/2006/main" count="1305" uniqueCount="575">
  <si>
    <t>SERVIÇO PÚBLICO FEDERAL</t>
  </si>
  <si>
    <t>CONSELHO REGIONAL DE ENGENHARIA E AGRONOMIA DO MARANHÃO</t>
  </si>
  <si>
    <t>CREA</t>
  </si>
  <si>
    <t>ANEXO I - ORÇAMENTO SINTÉTICO</t>
  </si>
  <si>
    <t>ITENS</t>
  </si>
  <si>
    <t>SERVIÇOS</t>
  </si>
  <si>
    <t>QUANTIDADE</t>
  </si>
  <si>
    <t>P.UNIT.</t>
  </si>
  <si>
    <t>P.TOTAL</t>
  </si>
  <si>
    <t>%</t>
  </si>
  <si>
    <t>FONTE / CÓDIGO</t>
  </si>
  <si>
    <t>HOMEM</t>
  </si>
  <si>
    <t>MÊS</t>
  </si>
  <si>
    <t>TOTAL</t>
  </si>
  <si>
    <t>GRUPO 1</t>
  </si>
  <si>
    <t>MÃO DE OBRA</t>
  </si>
  <si>
    <t>1.1</t>
  </si>
  <si>
    <t>1.2</t>
  </si>
  <si>
    <t>1.3</t>
  </si>
  <si>
    <t>GRUPO 2</t>
  </si>
  <si>
    <t>DESPESAS INDIRETAS</t>
  </si>
  <si>
    <t>2.1</t>
  </si>
  <si>
    <t>ADMINISTRAÇÃO CENTRAL</t>
  </si>
  <si>
    <t>GRUPO 3</t>
  </si>
  <si>
    <t xml:space="preserve">REMUNERAÇÃO DA EMPRESA </t>
  </si>
  <si>
    <t>3.1</t>
  </si>
  <si>
    <t>LUCRO</t>
  </si>
  <si>
    <t>GRUPO 4</t>
  </si>
  <si>
    <t>TRIBUTAÇÃO SOBRE FATURAMENTO</t>
  </si>
  <si>
    <t>4.1</t>
  </si>
  <si>
    <t>TRIBUTOS</t>
  </si>
  <si>
    <t xml:space="preserve">TOTAL  GERAL </t>
  </si>
  <si>
    <t>VALOR MENSAL</t>
  </si>
  <si>
    <t>NOTAS:</t>
  </si>
  <si>
    <t>PARA CÁLCULO DO SALÁRIO BÁSICO, DEVE SER UTILIZADO O VALOR REFERÊNCIA  DE R$ 1.094,00 PARA VIGIA E PORTEIRO  CONFORME CONVENÇÃO COLETIVA DE TRABALHO DO SINDICATO DOS VIGIAS, PORTEIROS, FISCAIS E SIMILARES DE EMPRESAS COMERCIAIS, INDUSTRIAIS, HOTÉIS, MOTÉIS, POUSADAS, BARES, RESTAURANTES, LANCHONETES, CONDOMÍNIOS RESIDENCIAIS E ENTIDADES SINDICAIS  AFINS DO ESTADO DO MARANHÃO 2017/2018.</t>
  </si>
  <si>
    <t>ANEXO II - ORÇAMENTO ANÁLITICO OU COMPOSIÇÃO DE CUSTO SÃO LUÍS</t>
  </si>
  <si>
    <t>CÓDIGO</t>
  </si>
  <si>
    <t>DESCRIÇÃO</t>
  </si>
  <si>
    <t>CLASS</t>
  </si>
  <si>
    <t>UNID</t>
  </si>
  <si>
    <t>COEF.</t>
  </si>
  <si>
    <t>PREÇO(R$)</t>
  </si>
  <si>
    <t>PREÇO TOTAL (R$)</t>
  </si>
  <si>
    <t>ACORDO COLETIVO</t>
  </si>
  <si>
    <t>VIGIA DIURNO 12X36</t>
  </si>
  <si>
    <t xml:space="preserve">SER.CG </t>
  </si>
  <si>
    <t xml:space="preserve">MES </t>
  </si>
  <si>
    <t>M.O.</t>
  </si>
  <si>
    <t>PREÇO (mão-de-obra):</t>
  </si>
  <si>
    <t>PREÇO TOTAL (unit.):</t>
  </si>
  <si>
    <t>REPOSIÇÃO DE PROFISSIONAL AUSENTE</t>
  </si>
  <si>
    <t>ENCARGOS SOCIAIS - SINAPI</t>
  </si>
  <si>
    <t>TOTAL TAXA:</t>
  </si>
  <si>
    <t>PREÇO TOTAL UNIT. (c/ taxas):</t>
  </si>
  <si>
    <t>VIGIA NOTURNO 12X36</t>
  </si>
  <si>
    <t>ADICIONAL NOTURNO =</t>
  </si>
  <si>
    <t xml:space="preserve">UNXMES </t>
  </si>
  <si>
    <t>H</t>
  </si>
  <si>
    <t>PREÇO (material):</t>
  </si>
  <si>
    <t>ADICIONAL DE PERICULOSIDADE:</t>
  </si>
  <si>
    <t>PREÇO TOTAL UNIT. (c/ taxa):</t>
  </si>
  <si>
    <t>QUANTIDADE:</t>
  </si>
  <si>
    <t>PREÇO TOTAL (c/ taxa):</t>
  </si>
  <si>
    <t>PORTEIRO</t>
  </si>
  <si>
    <t>DIA DO PORTEIRO PROPORCIONAL=(1051/220)=4,78*1,7448=8,34*55%=4,59 /12 =</t>
  </si>
  <si>
    <t>ANEXO IIA - ORÇAMENTO ANÁLITICO OU COMPOSIÇÃO DE CUSTO BALSAS E IMPERATRIZ</t>
  </si>
  <si>
    <t>ANEXO III - MODELO DE COMPOSIÇÃO DE TRIBUTOS APLICADOS</t>
  </si>
  <si>
    <t>ITEM</t>
  </si>
  <si>
    <t>DISCRIMINAÇÃO</t>
  </si>
  <si>
    <t>1.0</t>
  </si>
  <si>
    <t>Descrição 01</t>
  </si>
  <si>
    <t>Descrição 02</t>
  </si>
  <si>
    <t>Descrição 03</t>
  </si>
  <si>
    <t>1.4</t>
  </si>
  <si>
    <t>Descrição 04</t>
  </si>
  <si>
    <t>1 - Alíquota do ISS é determinada pela "Relação de Serviços" do município onde se prestará o serviço conforme art. 1° e art. 8° da Lei Complementar n° 116/2001;</t>
  </si>
  <si>
    <t>EMPRESA MARANHENSE DE ADMINISTRAÇÃO PORTUÁRIA</t>
  </si>
  <si>
    <t xml:space="preserve">E  M  A  P  </t>
  </si>
  <si>
    <t>GOVERNO DO ESTADO DO MARANHÃO</t>
  </si>
  <si>
    <t>TÍTULO:</t>
  </si>
  <si>
    <t>COMPOSIÇÕES DE CUSTOS UNITÁRIOS</t>
  </si>
  <si>
    <t>LOGO CONTRATADA</t>
  </si>
  <si>
    <t>PROJETO:</t>
  </si>
  <si>
    <t xml:space="preserve">Contratação de Empresa Especializada para prestação de Serviços de Limpeza, Conservação e Jardinagem, com fornecimento de Materiais e Equipamentos para atender as demandas da Empresa Maranhense de Administração Portuária – EMAP. </t>
  </si>
  <si>
    <t>Nº CONTRATDA</t>
  </si>
  <si>
    <t>Nº EMAP:</t>
  </si>
  <si>
    <t>DATA:</t>
  </si>
  <si>
    <t>REVISÃO:</t>
  </si>
  <si>
    <t>UNID.</t>
  </si>
  <si>
    <t>QUANT</t>
  </si>
  <si>
    <t>ENCARREGADO DE SERVIÇOS GERAIS</t>
  </si>
  <si>
    <t>UNXMES</t>
  </si>
  <si>
    <t>ACORDO COLETIVO 2015</t>
  </si>
  <si>
    <t>AUXILIAR DE SERVIÇOS GERAIS</t>
  </si>
  <si>
    <t>1 ENCARREGADO PARA CADA 30 SERVENTES</t>
  </si>
  <si>
    <t>OPERADOR DE ROÇADEIRA</t>
  </si>
  <si>
    <t>2 ENCARREGADO PARA CADA 4 FACHADEIRO</t>
  </si>
  <si>
    <t>TÉC DE SEGURANÇA DO TRABALHO</t>
  </si>
  <si>
    <t>1.5</t>
  </si>
  <si>
    <t>ENGº SEGURANÇA DO TRABALHO/MÉDICO DO TRABALHO</t>
  </si>
  <si>
    <t>SINAPI</t>
  </si>
  <si>
    <t>I0</t>
  </si>
  <si>
    <t>I1</t>
  </si>
  <si>
    <t>MATERIAIS</t>
  </si>
  <si>
    <t>PAPEL HIGIÊNICO BRANCO PICOTADO (FARDOx48UND)</t>
  </si>
  <si>
    <t>FARD</t>
  </si>
  <si>
    <t>CONTRATO ATUAL REAJUSTADO</t>
  </si>
  <si>
    <t>ês/ano</t>
  </si>
  <si>
    <t>Índice do mês</t>
  </si>
  <si>
    <t>Índice acumulado</t>
  </si>
  <si>
    <t>Índice acumulado nos últimos 12 meses</t>
  </si>
  <si>
    <t>Número índice</t>
  </si>
  <si>
    <t>2.2</t>
  </si>
  <si>
    <t>FORRO PARA ASSENTO SANITÁRIO BIODEGRADÁVEL 40 FOLHAS</t>
  </si>
  <si>
    <t>CX</t>
  </si>
  <si>
    <t>TALIMPO</t>
  </si>
  <si>
    <t>(em %)</t>
  </si>
  <si>
    <t>no ano (em %)</t>
  </si>
  <si>
    <t>acumulado a partir</t>
  </si>
  <si>
    <t>2.3</t>
  </si>
  <si>
    <t>TELA DESODORIZANTE PARA MICTÓRIO</t>
  </si>
  <si>
    <t>UND</t>
  </si>
  <si>
    <t>de Jan/93</t>
  </si>
  <si>
    <t>2.4</t>
  </si>
  <si>
    <t>ODORIZADOR AUTOMÁTICO DE AMBIENTES (5 LITROS)</t>
  </si>
  <si>
    <t>2.5</t>
  </si>
  <si>
    <t>REFIL ODORIZADOR DE AMBIENTE</t>
  </si>
  <si>
    <t>SUPERMERCADO CARONE</t>
  </si>
  <si>
    <t>2.6</t>
  </si>
  <si>
    <t>DESODORANTE BACTERICIDA PARA TODOS OS AMBIENTES SANITÁRIOS (VASOS E MICTÓRIOS);</t>
  </si>
  <si>
    <t>2.7</t>
  </si>
  <si>
    <t>PASTILHA SANITÁRIA</t>
  </si>
  <si>
    <t>2.8</t>
  </si>
  <si>
    <t>ÁLCOOL 70</t>
  </si>
  <si>
    <t>2.9</t>
  </si>
  <si>
    <t xml:space="preserve">ÁLCOOL  GEL </t>
  </si>
  <si>
    <t>2.10</t>
  </si>
  <si>
    <t>AROMATIZANTE GEL (5LITROS)</t>
  </si>
  <si>
    <t>2.11</t>
  </si>
  <si>
    <t>AROMATIZANTE SPRAY DE AMBIENTE</t>
  </si>
  <si>
    <t>2.12</t>
  </si>
  <si>
    <t xml:space="preserve">ESPOJA DUPLA FACE </t>
  </si>
  <si>
    <t>PCT</t>
  </si>
  <si>
    <t>2.13</t>
  </si>
  <si>
    <t>ESPONJA DE AÇO FINA</t>
  </si>
  <si>
    <t>2.14</t>
  </si>
  <si>
    <t>REFIL MOP-ALGODÃO P/ CONJ. MOPINHO</t>
  </si>
  <si>
    <t>2.15</t>
  </si>
  <si>
    <t>REFIL MOP-PO</t>
  </si>
  <si>
    <t>2.16</t>
  </si>
  <si>
    <t>MOP PÓ DE 40 - COMPLETO</t>
  </si>
  <si>
    <t>2.17</t>
  </si>
  <si>
    <t>MOP PÓ DE 60 - COMPLETO</t>
  </si>
  <si>
    <t>2.18</t>
  </si>
  <si>
    <r>
      <t xml:space="preserve">POLIDOR DE </t>
    </r>
    <r>
      <rPr>
        <sz val="10"/>
        <color indexed="8"/>
        <rFont val="Calibri"/>
        <family val="2"/>
      </rPr>
      <t>INOX  A SER USADO EM PIAS</t>
    </r>
  </si>
  <si>
    <t>2.19</t>
  </si>
  <si>
    <t>DETERGENTE NEUTRO (PRODUTO CONCENTRADO, A SER DILUÍDO) COM PERFUME FLORAL, A SER USADO EM PISO EM GERAL E NOS BANHEIROS</t>
  </si>
  <si>
    <t>2.20</t>
  </si>
  <si>
    <t>DETERGENTE NEUTRO (PRODUTO CONCENTRADO, A SER DILUÍDO), USO EM PISO EM GERAL</t>
  </si>
  <si>
    <t>2.21</t>
  </si>
  <si>
    <r>
      <t>LUSTRA-MÓVEIS</t>
    </r>
    <r>
      <rPr>
        <sz val="10"/>
        <color indexed="8"/>
        <rFont val="Calibri"/>
        <family val="2"/>
      </rPr>
      <t>, A SER USADO EM MARCOS DE MADEIRA E PORTAS DE MADEIRA</t>
    </r>
  </si>
  <si>
    <t>2.22</t>
  </si>
  <si>
    <t>MULTO USO (5LITROS)</t>
  </si>
  <si>
    <t>2.23</t>
  </si>
  <si>
    <t>FIBRA MACIA</t>
  </si>
  <si>
    <t>2.24</t>
  </si>
  <si>
    <t>FIBRA P SUPORTE LT /PESADA</t>
  </si>
  <si>
    <t>2.25</t>
  </si>
  <si>
    <t>PAPEL TOALHA, DE TEXTURA FINA E DE BOA QUALIDADE, PARA COLOCAÇÃO E REPOSIÇÃO NA FREQÜÊNCIA NECESSÁRIA</t>
  </si>
  <si>
    <t>2.26</t>
  </si>
  <si>
    <t>SABONETE LÍQUIDO, DE BOA QUALIDADE, PARA COLOCAÇÃO E REPOSIÇÃO NA FREQÜÊNCIA NECESSÁRIA</t>
  </si>
  <si>
    <t>2.27</t>
  </si>
  <si>
    <t>SACO DE LIXO 15 LT (100UND)</t>
  </si>
  <si>
    <t>2.28</t>
  </si>
  <si>
    <t>SACO DE LIXO 30 LT (100UND)</t>
  </si>
  <si>
    <t>2.29</t>
  </si>
  <si>
    <t>SACO DE LIXO 50 LT (100UND)</t>
  </si>
  <si>
    <t>2.30</t>
  </si>
  <si>
    <t>SACO DE LIXO 200 LT (100UND)</t>
  </si>
  <si>
    <t>2.31</t>
  </si>
  <si>
    <t>BALDE ESPREMEDOR DUPLO</t>
  </si>
  <si>
    <t>2.32</t>
  </si>
  <si>
    <t>BALDE MOPINHO</t>
  </si>
  <si>
    <t>2.33</t>
  </si>
  <si>
    <t>BALDE PLÁTICOS 15 LT</t>
  </si>
  <si>
    <t>2.34</t>
  </si>
  <si>
    <t>SACO ALVEJADO (100UND)</t>
  </si>
  <si>
    <t>2.35</t>
  </si>
  <si>
    <t>SABONETE LÍQUIDO 5L</t>
  </si>
  <si>
    <t>2.36</t>
  </si>
  <si>
    <r>
      <t xml:space="preserve">SABÃO EM PÓ </t>
    </r>
    <r>
      <rPr>
        <sz val="10"/>
        <color indexed="8"/>
        <rFont val="Calibri"/>
        <family val="2"/>
      </rPr>
      <t>MULTIAÇÃO</t>
    </r>
  </si>
  <si>
    <t>2.37</t>
  </si>
  <si>
    <t>SABÃO EM BARRA</t>
  </si>
  <si>
    <t>2.38</t>
  </si>
  <si>
    <t>JATO DETERGENTE REMOVEDOR DE CERAS E IMPERMEABILIZANTES 5 LITROS</t>
  </si>
  <si>
    <t>COTAÇÃO PELA INTERNET</t>
  </si>
  <si>
    <t>2.39</t>
  </si>
  <si>
    <t>DESINFETANTE PARA BANHEIROS E SANITÁRIOS, AROMA PINHO OU FLORAL (5LITROS)</t>
  </si>
  <si>
    <t>2.40</t>
  </si>
  <si>
    <t>CREOLINA</t>
  </si>
  <si>
    <t>2.41</t>
  </si>
  <si>
    <t>PEDRA DESINFETANTE PARA SANITÁRIOS E MICTÓRIOS (CX. 10UND)</t>
  </si>
  <si>
    <t>2.42</t>
  </si>
  <si>
    <t>FLANELAS 40X60CM</t>
  </si>
  <si>
    <t>2.43</t>
  </si>
  <si>
    <t>SACO DE PANO PARA LIMPEZA</t>
  </si>
  <si>
    <t>2.44</t>
  </si>
  <si>
    <t>LUVA DE BORRACHA, PRÓPRIA PARA ATIVIDADE INSALUBRE</t>
  </si>
  <si>
    <t>PAR</t>
  </si>
  <si>
    <t>2.45</t>
  </si>
  <si>
    <t>SACO DE LIXO, EM PLÁSTICO, COM CAPACIDADE PARA 100 (CEM) LITROS</t>
  </si>
  <si>
    <t>2.46</t>
  </si>
  <si>
    <t>ÁGUA SANITÁRIA</t>
  </si>
  <si>
    <t>2.47</t>
  </si>
  <si>
    <r>
      <t>PASTA KINER</t>
    </r>
    <r>
      <rPr>
        <sz val="10"/>
        <color indexed="8"/>
        <rFont val="Calibri"/>
        <family val="2"/>
      </rPr>
      <t xml:space="preserve"> PARA LIMPEZA EXTERNA DE EQUIPAMENTOS DE INFORMÁTICA</t>
    </r>
  </si>
  <si>
    <t>2.48</t>
  </si>
  <si>
    <t>SAPÓLIO;</t>
  </si>
  <si>
    <t>2.49</t>
  </si>
  <si>
    <t>RODO DE ALUMINIO 65CM</t>
  </si>
  <si>
    <t>2.50</t>
  </si>
  <si>
    <t>RODO PLASTICO 40 CM</t>
  </si>
  <si>
    <t>2.51</t>
  </si>
  <si>
    <t>VASSOURA DE PIAÇAVA</t>
  </si>
  <si>
    <t>2.52</t>
  </si>
  <si>
    <t>MANGUEIRAS DE BORRACHA 50 MT</t>
  </si>
  <si>
    <t>2.53</t>
  </si>
  <si>
    <t>DESINFETANTE 5LITROS</t>
  </si>
  <si>
    <t>2.54</t>
  </si>
  <si>
    <t>DETERGENTE ALCALINO PARA PISO  5 LITROS</t>
  </si>
  <si>
    <t>2.55</t>
  </si>
  <si>
    <t>DETERGENTE NEUTRO PARA LOUÇA  (5LITROS)</t>
  </si>
  <si>
    <t>2.56</t>
  </si>
  <si>
    <t>DETERGENTE LIMPEZA PESADA  5 LITROS</t>
  </si>
  <si>
    <t>2.57</t>
  </si>
  <si>
    <t xml:space="preserve">DETERGENTE AUTOMOTIVO </t>
  </si>
  <si>
    <t>2.58</t>
  </si>
  <si>
    <t>DESENGRAXANTE AUTOMOTIVO  5 LITROS</t>
  </si>
  <si>
    <t>2.59</t>
  </si>
  <si>
    <t xml:space="preserve">LIMPADOR MULTIUSO </t>
  </si>
  <si>
    <t>2.60</t>
  </si>
  <si>
    <t>ESCADA 8 DEGRAUS</t>
  </si>
  <si>
    <t>2.61</t>
  </si>
  <si>
    <t>ÁCIDO MURIÁTICO</t>
  </si>
  <si>
    <t>2.62</t>
  </si>
  <si>
    <t>HIPOCLORITO DE SÓDIO PARA DESINFECÇÃO (5LITROS)</t>
  </si>
  <si>
    <t>2.63</t>
  </si>
  <si>
    <t>TESOURA DE PODAR</t>
  </si>
  <si>
    <t>2.64</t>
  </si>
  <si>
    <t>KIT LIMPA VIDROS</t>
  </si>
  <si>
    <t>2.65</t>
  </si>
  <si>
    <t>PLACA DE SINALIZADORA</t>
  </si>
  <si>
    <t>2.66</t>
  </si>
  <si>
    <t>ESCOVA MÉDIA OVAL NYLON</t>
  </si>
  <si>
    <t>2.67</t>
  </si>
  <si>
    <t>ESPÁTULA</t>
  </si>
  <si>
    <t>2.68</t>
  </si>
  <si>
    <t>DESINTUPIDOR DE PIA</t>
  </si>
  <si>
    <t>2.69</t>
  </si>
  <si>
    <t>DESINTUPIDOR DE VASO</t>
  </si>
  <si>
    <t>2.70</t>
  </si>
  <si>
    <t>DISCO LUSTRADOR BRANCO</t>
  </si>
  <si>
    <t>2.71</t>
  </si>
  <si>
    <t>DISCO LUSTRADOR PRETO</t>
  </si>
  <si>
    <t>2.72</t>
  </si>
  <si>
    <t>ENCERADEIRA</t>
  </si>
  <si>
    <t>2.73</t>
  </si>
  <si>
    <t>ESCOVA DE LYLON P ENCERADEIRA</t>
  </si>
  <si>
    <t>2.74</t>
  </si>
  <si>
    <t>CERA LÍQUIDA INCOLOR (5LITROS)</t>
  </si>
  <si>
    <t>GL</t>
  </si>
  <si>
    <t>2.75</t>
  </si>
  <si>
    <t>INCETICIDA AEROSOL</t>
  </si>
  <si>
    <t>2.76</t>
  </si>
  <si>
    <t>LIMPA VIDRO 5L</t>
  </si>
  <si>
    <t>2.77</t>
  </si>
  <si>
    <t>SUPORTE PARA ENCERADEIRA</t>
  </si>
  <si>
    <t>2.78</t>
  </si>
  <si>
    <t xml:space="preserve">PULVERIZADOR </t>
  </si>
  <si>
    <t>2.79</t>
  </si>
  <si>
    <t>VASSOURA DE CRINA - 50 CM</t>
  </si>
  <si>
    <t>2.80</t>
  </si>
  <si>
    <t>VASSOURA SANITÁRIA C ESTOJO</t>
  </si>
  <si>
    <t>2.81</t>
  </si>
  <si>
    <t>SUPORTE LT</t>
  </si>
  <si>
    <t>2.82</t>
  </si>
  <si>
    <t>PA JEITOSA</t>
  </si>
  <si>
    <t>2.83</t>
  </si>
  <si>
    <t>CARRO FUNCIONAL</t>
  </si>
  <si>
    <t>2.84</t>
  </si>
  <si>
    <t>CARRO DE MÃO</t>
  </si>
  <si>
    <t>2.85</t>
  </si>
  <si>
    <t>EXTENSÃO ELÉTRICA 100M</t>
  </si>
  <si>
    <t>2.86</t>
  </si>
  <si>
    <t>MÁQ DE LAVAR CARRO</t>
  </si>
  <si>
    <t>2.87</t>
  </si>
  <si>
    <t>RÁDIO COMUNICADOR</t>
  </si>
  <si>
    <t>2.88</t>
  </si>
  <si>
    <t>ÁGUA PARA USO NO CAMINHÃO PIPA</t>
  </si>
  <si>
    <t>M³</t>
  </si>
  <si>
    <t xml:space="preserve">COTAÇÃO </t>
  </si>
  <si>
    <t>2.89</t>
  </si>
  <si>
    <t>ANDAIME METALICO TUBULAR DE ENCAIXE, TIPO DE TORRE, COM LARGURA DE 1 ATE 1,5 M E ALTURA DE *1,00 M* (LOCACAO)
(LOCACAO)</t>
  </si>
  <si>
    <t>m/mês</t>
  </si>
  <si>
    <t>2.90</t>
  </si>
  <si>
    <t>CAL VIRGEM</t>
  </si>
  <si>
    <t>Kg</t>
  </si>
  <si>
    <t>EQUIPAMENTOS</t>
  </si>
  <si>
    <t>CARREGADEIRA DE PNEUS: CASE: SR 175 - C/ VASSOURA SPS
155 DA AGF - (200H/MÊS)</t>
  </si>
  <si>
    <t>CHP</t>
  </si>
  <si>
    <t>DNIT</t>
  </si>
  <si>
    <t>E156</t>
  </si>
  <si>
    <t>3.2</t>
  </si>
  <si>
    <t>SOPRADOR E ASPIRADOR A COMBUSTAÇÃO (200H/MÊS)</t>
  </si>
  <si>
    <t>SINAPI e COTAÇÃO</t>
  </si>
  <si>
    <t>3.3</t>
  </si>
  <si>
    <t>CAMINHAO PIPA 10.000L TRUCADO, 208CV - 21,1T (VU=6ANOS) (INCLUI TANQUE DE ACO PARA TRANSPORTE DE AGUA E MOTOBOMBA CENTRIFUGA A GASOLINA 3,5CV (200H/MÊS)</t>
  </si>
  <si>
    <t>3.4</t>
  </si>
  <si>
    <t>PÁ CARREGADEIRA SOBRE RODAS, POTÊNCIA LÍQUIDA 128 HP, CAPACIDADE DA CAÇAMBA 1,7 A 2,8 M3, PESO OPERACIONAL 11632 KG  (200 MÊS)
AF_06/2014 (200H/MÊS)</t>
  </si>
  <si>
    <t>3.5</t>
  </si>
  <si>
    <t>ROCADEIRA COSTAL COM MOTOR A GASOLINA DE *32* CC (200H/MÊS)</t>
  </si>
  <si>
    <t>3.6</t>
  </si>
  <si>
    <t>VEICULO UTILITARIO TIPO PICK-UP A GASOLINA COM 56,8CV  (200H/MÊS)</t>
  </si>
  <si>
    <t>3.7</t>
  </si>
  <si>
    <t>CAMINHAO BASCULANTE 10 M3 (200H/MÊS)</t>
  </si>
  <si>
    <t>TOTAIS PARCIAS</t>
  </si>
  <si>
    <t>TOTAL MÃO DE OBRA</t>
  </si>
  <si>
    <t>TOTAL DE MAT. E EQUIP</t>
  </si>
  <si>
    <t xml:space="preserve">BDI (%) APLICADO </t>
  </si>
  <si>
    <t>TOTAL  GERAL COM BDI</t>
  </si>
  <si>
    <t>OS VALORES DOS POSTOS DE TRABALHOS FORAM ADQUIRIDOS UTILIZANDO O SISTEMA SINAPI, CONVENÇÃO COLETIVA DE TRABALHO 2015 DO SINDICATO DOS EMPREGADOS DE EMPRESAS DE ASSEEIO, CONSERVAÇÃO E LIMPEZA PÚBLICA, EDIFICIOS, COND. RESIDENCIAIS, COMERCIAIS E MISTOS, LAVANDERIAS E SIMILARES DE SÃO LUÍS/MA E O SINDICATO DAS EMPRESAS DE ASSEIO E CONSERVAÇÃO DO ESTADO DO MARANHÃO.</t>
  </si>
  <si>
    <t>FOI ACRESCENTADO A COMPOSIÇÃO DE CUSTO UM ADICIONAL DE PERICULOSIDADE DE 30%, POR SE TRATAR DE UMA ARÉA DE RISCO DE ACORDO COM A NORMA NR 16 (ATIVIDADES E OPERAÇÕES PERIGOSAS).</t>
  </si>
  <si>
    <t>O EFETIVO DE FUNCIONÁRIOS FOI OBTIDO CONFORME DETERMINA A INSTRUÇÃO NORMATIVA Nº 02, DE 30 DE ABRIL DE 2008</t>
  </si>
  <si>
    <t xml:space="preserve">O QUANTITATIVO DE MATERIAS E EQUIPAMENTOS FORAM OBTIDOS ATRAVÉS DO ATUAL CONSUMO E NECESSIDADES, REGISTRADOS NOS RELATÓRIOS DA FISCALIZAÇÃO DA EMAP. </t>
  </si>
  <si>
    <t>TODOS EQUIPAMENTOS COM REFERÊNCIA SINAPI E DNIT, ESTÃO INCLUSOS OS CUSTOS COM JUROS, DEPRECIAÇÃO, MANUTENÇÃO, MATERIAIS DE OPERAÇÃO, MÃO DE OBRA, EPI, ALIMENTAÇÃO, TRANSPORTES, SEGURO, EXAMES, ETC.</t>
  </si>
  <si>
    <t>CONSIDERANDO QUE AS TABELAS OFICIAIS DE REFERÊNCIA NÃO POSSUEM O CUSTO DE ALUGUEL PARA A ROÇADEIRA COSTAL E SOPRADOR, ADOTAMOS O CUSTO DE AQUISIÇÃO DO EQUIPAMENTO FRACIONADO EM CUSTO HORÁRIO. DESTA FORMA, AO TÉRMINO DO CONTRATO AS ROÇADEIRAS E SOPRADORES DEVERÃO SER INCORPORADAS AO PATRIMÔNIO DA EMAP.</t>
  </si>
  <si>
    <t>CONSIDERANDO QUE AS TABELAS OFICIAIS DE REFERÊNCIA NÃO POSSUEM OS CUSTOS DE DETERMINADOS MATERIAIS, ADOTAMOS OS CUSTOS DOS MATERIAIS DO ATUAL CONTRATO DE LIMPEZA E CONSERVAÇÃO E REALIZAMOS O REAJUSTAMENTO ATRAVÉS DO ÍNDICE DE PREÇOS AO CONSUMIDOR - IPC, PESQUISADO PELA FGV.</t>
  </si>
  <si>
    <t>TENDO EM VISTA QUE AS TABELAS OFICIAIS CONSULTADAS NÃO POSSUEM CUSTO PARA MÉDICO DO TRABALHO, ADOTAMOS O CUSTO DO MÉDICO IGUAIS AO DO ENGENHEIRO DE SEGURANÇA DO TRABALHO.</t>
  </si>
  <si>
    <t>MODELO DE PLANILHA DE COMPOSIÇÃO DO PERCENTUAL DE BONIFICAÇÃO E DESPESAS INDIRETAS - BDI</t>
  </si>
  <si>
    <t>XX</t>
  </si>
  <si>
    <t>DESPESAS FINANCEIRAS</t>
  </si>
  <si>
    <t>SEGURO / GARANTIA / RISCO</t>
  </si>
  <si>
    <t>Seguros</t>
  </si>
  <si>
    <t>Garantia</t>
  </si>
  <si>
    <t xml:space="preserve">Riscos </t>
  </si>
  <si>
    <t>LUCRO BRUTO</t>
  </si>
  <si>
    <t>5.1</t>
  </si>
  <si>
    <t>ISS(Obs. Perc. da Localid.) 5% sobre a Mão de Obra =</t>
  </si>
  <si>
    <t>5.2</t>
  </si>
  <si>
    <t>PIS</t>
  </si>
  <si>
    <t>5.3</t>
  </si>
  <si>
    <t>COFINS</t>
  </si>
  <si>
    <t>BDI</t>
  </si>
  <si>
    <t>BDI =[((1/(1-IMP))*(1+ADM)*(1+DEF)*(1+RIS)*(1+LB)) – 1]*100</t>
  </si>
  <si>
    <t>XX%</t>
  </si>
  <si>
    <t xml:space="preserve">2 - A alíquota do ISS foi aplica sobre a mão de obra uma vez que este valor esta bem definido no orçamento apresentado. Taxa = 5% da mão de obra, mão de obra = 84,62% do orçamento, então multiplicando 5% x 84,62% = 4,231(aplicando-se esta taxa sobre o preço de venda, teremos um valor referente apenas a mão de obra.) </t>
  </si>
  <si>
    <t>3 - Alíquota máxima de PIS é de até 1,65% conforme Lei n°10.637/02 em consonância ao Regime de Tributação da Empresa;</t>
  </si>
  <si>
    <t>4 - Alíquota máxima de COFINS é de 3% conforme Lei n° 10.833/03;</t>
  </si>
  <si>
    <t xml:space="preserve"> PLANILHA MODELO DE ENCARGOS SOCIAIS</t>
  </si>
  <si>
    <t>LOGO:</t>
  </si>
  <si>
    <t>Nº CONTRATADA:</t>
  </si>
  <si>
    <t>HORISTA (%)</t>
  </si>
  <si>
    <t>MENSALISTA (%)</t>
  </si>
  <si>
    <t>GRUPO A - ENCARGOS SOCIAIS BÁSICOS</t>
  </si>
  <si>
    <t>A 1</t>
  </si>
  <si>
    <t>INSS - Artigo 22 Inciso I Lei 8.212/91</t>
  </si>
  <si>
    <t>A 2</t>
  </si>
  <si>
    <t>SESI ou SESC - Artigo 3° Lei 8.036/90</t>
  </si>
  <si>
    <t>A 3</t>
  </si>
  <si>
    <t>SENAI ou SENAC - Decreto 2.318/86</t>
  </si>
  <si>
    <t>A 4</t>
  </si>
  <si>
    <t>INCRA - Lei 7.787 de 30/06/89 e DL 1.146/70</t>
  </si>
  <si>
    <t>A 5</t>
  </si>
  <si>
    <t>SEBRAE - Artigo 8° Lei 8.029/90 e Lei 8.154 de 28/12/90</t>
  </si>
  <si>
    <t>A 6</t>
  </si>
  <si>
    <t>Salário Educação - Artigo 3° Inciso I Decreto 8.704/82</t>
  </si>
  <si>
    <t>A 7</t>
  </si>
  <si>
    <t>Seguro Acidente do Trabalho/SAT/INSS</t>
  </si>
  <si>
    <t>A 8</t>
  </si>
  <si>
    <t>FGTS - Artigo 15 Lei 8.030 e Artigo 7° Inciso III CF/88</t>
  </si>
  <si>
    <t>A 9</t>
  </si>
  <si>
    <t>SECONCI</t>
  </si>
  <si>
    <t>SUBTOTAL GRUPO A</t>
  </si>
  <si>
    <t>GRUPO B - ENCARGOS QUE RECEBEM INCIDÊNCIA DO GRUPO A</t>
  </si>
  <si>
    <t>B 1</t>
  </si>
  <si>
    <t>Repouso Semanal Remunerado</t>
  </si>
  <si>
    <t>B 2</t>
  </si>
  <si>
    <t>Feriados</t>
  </si>
  <si>
    <t>B 3</t>
  </si>
  <si>
    <t>Aviso Prévio</t>
  </si>
  <si>
    <t>B 4</t>
  </si>
  <si>
    <t>13º Salário</t>
  </si>
  <si>
    <t>B 5</t>
  </si>
  <si>
    <t>Licença Paternidade</t>
  </si>
  <si>
    <t>B 6</t>
  </si>
  <si>
    <t>Auxílio-Enfermidade</t>
  </si>
  <si>
    <t>B 7</t>
  </si>
  <si>
    <t>Ausencias Abonadas/Dias de Chuvas</t>
  </si>
  <si>
    <t>SUBTOTAL GRUPO B</t>
  </si>
  <si>
    <t>GRUPO C - ENCARGOS QUE NÂO RECEBEM INCIDÊNCIA DO GRUPO B</t>
  </si>
  <si>
    <t>C 1</t>
  </si>
  <si>
    <t>Depósito Rescisão Sem Justa Causa</t>
  </si>
  <si>
    <t>C2</t>
  </si>
  <si>
    <t xml:space="preserve">Férias  (indenizadas) </t>
  </si>
  <si>
    <t>SUBTOTAL GRUPO C</t>
  </si>
  <si>
    <t>GRUPO D - INCIDÊNCIA DO GRUPO A SOBRE O GRUPO B</t>
  </si>
  <si>
    <t>D 1</t>
  </si>
  <si>
    <t xml:space="preserve"> Reincidência de A sobre B</t>
  </si>
  <si>
    <t>SUBTOTAL GRUPO D</t>
  </si>
  <si>
    <t xml:space="preserve">TOTAL(A+B+C+D) </t>
  </si>
  <si>
    <t>CRONOGRAMA FISICO-FINANCEIRO</t>
  </si>
  <si>
    <t>DATA BASE:</t>
  </si>
  <si>
    <t>R$</t>
  </si>
  <si>
    <t>MÊS 01</t>
  </si>
  <si>
    <t>MÊS 02</t>
  </si>
  <si>
    <t>MÊS 03</t>
  </si>
  <si>
    <t>MÊS 04</t>
  </si>
  <si>
    <t>MÊS 05</t>
  </si>
  <si>
    <t>MÊS 06</t>
  </si>
  <si>
    <t>MÊS 07</t>
  </si>
  <si>
    <t>MÊS 08</t>
  </si>
  <si>
    <t>MÊS 09</t>
  </si>
  <si>
    <t>MÊS 10</t>
  </si>
  <si>
    <t>MÊS 11</t>
  </si>
  <si>
    <t>MÊS 12</t>
  </si>
  <si>
    <t>TOTAL DA OBRA/DESEMBOLSO MENSAL</t>
  </si>
  <si>
    <t>DESEMBOLSO ACUMULADO</t>
  </si>
  <si>
    <t>%  ACUMULADO</t>
  </si>
  <si>
    <t>BDI =</t>
  </si>
  <si>
    <t>MODELO DE CRONOGRAMA FISICO-FINANCEIRO</t>
  </si>
  <si>
    <t>,</t>
  </si>
  <si>
    <t>VALOR</t>
  </si>
  <si>
    <t>COMPOSICAO 5762</t>
  </si>
  <si>
    <t>CAMINHAO PIPA 10000L TRUCADO, 208CV - 21,1T (VU=6ANOS) (INCLUI</t>
  </si>
  <si>
    <t>TANQUE DE ACO PARA TRANSPORTE DE AGUA E MOTOBOMBA CENTRIFUGA A</t>
  </si>
  <si>
    <t>GASOLINA 3,5CV) - DEPRECIACAO E JUROS</t>
  </si>
  <si>
    <t>COMPOSICAO 5763</t>
  </si>
  <si>
    <t>GASOLINA 3,5CV) - MANUTENCAO</t>
  </si>
  <si>
    <t>COMPOSICAO 53831</t>
  </si>
  <si>
    <t>GASOLINA 3,5CV) - CUSTO HORARIO DE MATERIAIS NA OPERACAO</t>
  </si>
  <si>
    <t>COMPOSICAO 53832</t>
  </si>
  <si>
    <t>GASOLINA 3,5CV) - MAO-DE-OBRA DIURNA NA OPERACAO</t>
  </si>
  <si>
    <t xml:space="preserve">CHP </t>
  </si>
  <si>
    <t>COEF</t>
  </si>
  <si>
    <t>R$/H</t>
  </si>
  <si>
    <t>SER.CG</t>
  </si>
  <si>
    <t>COMBUSTIVEL</t>
  </si>
  <si>
    <t>COMPOSICAO 53857</t>
  </si>
  <si>
    <t>PÁ CARREGADEIRA SOBRE RODAS, POTÊNCIA LÍQUIDA 128 HP, CAPACIDADE</t>
  </si>
  <si>
    <t>DA CAÇAMBA 1,7 A 2,8 M3, PESO OPERACIONAL 11632 KG • MANUTENCAO.</t>
  </si>
  <si>
    <t>EQUIP</t>
  </si>
  <si>
    <t>H COM BDI</t>
  </si>
  <si>
    <t>AF_06/2014</t>
  </si>
  <si>
    <t>COMPOSICAO 53858</t>
  </si>
  <si>
    <t>DA CAÇAMBA 1,7 A 2,8 M3, PESO OPERACIONAL 11632 KG • MATERIAIS NA</t>
  </si>
  <si>
    <t>COMBST</t>
  </si>
  <si>
    <t>COTAÇÃO</t>
  </si>
  <si>
    <t>OPERAÇÃO. AF_06/2014</t>
  </si>
  <si>
    <t>COMPOSICAO 88301 OPERADOR DE PÁ CARREGADEIRA COM ENCARGOS COMPLEMENTARES H 1</t>
  </si>
  <si>
    <t>COMPOSICAO 89128</t>
  </si>
  <si>
    <t>DA CAÇAMBA 1,7 A 2,8 M3, PESO OPERACIONAL 11632 KG - DEPRECIAÇÃO.</t>
  </si>
  <si>
    <t>COMPOSICAO 89129</t>
  </si>
  <si>
    <t>DA CAÇAMBA 1,7 A 2,8 M3, PESO OPERACIONAL 11632 KG - JUROS.</t>
  </si>
  <si>
    <t>COMPOSICAO 7013</t>
  </si>
  <si>
    <t>VEICULO UTILITARIO TIPO PICK-UP A GASOLINA COM 56,8CV -</t>
  </si>
  <si>
    <t>DEPRECIACAO</t>
  </si>
  <si>
    <t>COMPOSICAO 7014 VEICULO UTILITARIO TIPO PICK-UP A GASOLINA COM 56,8CV - JUROS H 1</t>
  </si>
  <si>
    <t>COMPOSICAO 7015 VEICULO UTILITARIO TIPO PICK-UP A GASOLINA COM 56,8CV - MANUTENCAO H 1</t>
  </si>
  <si>
    <t>COMPOSICAO 7016</t>
  </si>
  <si>
    <t>VEICULO UTILITARIO TIPO PICK-UP A GASOLINA COM 56,8CV - CUSTOS</t>
  </si>
  <si>
    <t>C/MATERIAL NA OPERACAO</t>
  </si>
  <si>
    <t>COMPOSICAO 7017 MÃO-DE-OBRA OPERAÇÃO DIURNA - VEÍCULO LEVE</t>
  </si>
  <si>
    <t>MODELO DE COMPOSIÇÕES DE CUSTOS UNITÁRIOS</t>
  </si>
  <si>
    <t>SERVIÇOS PRELIMINARES</t>
  </si>
  <si>
    <t>FONTE/CÓDIGO</t>
  </si>
  <si>
    <t>DESCRIÇÃO DO INSUMO</t>
  </si>
  <si>
    <t>COEFICIENTE</t>
  </si>
  <si>
    <t>ESCAVAÇÃO</t>
  </si>
  <si>
    <t>ALTURA</t>
  </si>
  <si>
    <t>AREA</t>
  </si>
  <si>
    <t>VOLUME</t>
  </si>
  <si>
    <t>FOSSA</t>
  </si>
  <si>
    <t>SUMIDOURO</t>
  </si>
  <si>
    <t>ANEXO IV - COMPOSIÇÃO DE ENCARGOS SOCIAIS (REFERÊNCIA - CLT E DECRETOS)</t>
  </si>
  <si>
    <t>Auxílio Enfermidade</t>
  </si>
  <si>
    <t>Faltas Justificadas</t>
  </si>
  <si>
    <t>Auxílio Acidente de Trabalho</t>
  </si>
  <si>
    <t xml:space="preserve">Férias Gozadas </t>
  </si>
  <si>
    <t>Salário Maternidade</t>
  </si>
  <si>
    <t>Aviso Prévio Indenizado</t>
  </si>
  <si>
    <t>Aviso Prévio Trabalhado</t>
  </si>
  <si>
    <t>C 3</t>
  </si>
  <si>
    <t>Férias Indenizadas</t>
  </si>
  <si>
    <t>C 4</t>
  </si>
  <si>
    <t>Depósito Rescisão sem justa causa</t>
  </si>
  <si>
    <t>C 5</t>
  </si>
  <si>
    <t>Indenizacão Adicional</t>
  </si>
  <si>
    <t xml:space="preserve"> Reincidência Do Grupo A sobre o Grupo B</t>
  </si>
  <si>
    <t>D2</t>
  </si>
  <si>
    <t>Reincidência do Grupo A ssobre Aviso Prévio Trabalhado e Reincidência do FGTS sobre Aviso Prévio Indenizado</t>
  </si>
  <si>
    <t>ANEXO V - COMPOSIÇÃO DOS ENCARGOS COMPLEMENTARES E ADICIONAIS</t>
  </si>
  <si>
    <t>salário mensal</t>
  </si>
  <si>
    <t>salário/hora (190)</t>
  </si>
  <si>
    <t>quant de funcion</t>
  </si>
  <si>
    <t>VIGIA (Convenção Coletiva de Trabalho 2017/2018)</t>
  </si>
  <si>
    <t>PORTEIRO(Conv Coletiva de Trabalho 2017/2018)</t>
  </si>
  <si>
    <t>média poderada</t>
  </si>
  <si>
    <t>salário mensal da média ponderada</t>
  </si>
  <si>
    <t>AUXILIO ALIMENTAÇÃO</t>
  </si>
  <si>
    <t>OBSERVAÇÕES</t>
  </si>
  <si>
    <t>CA=custo do almoço médio p/ mês</t>
  </si>
  <si>
    <t>Para o Vale alimentação foi considerado o preço médio de cotação entre três empresas no valor de R$ 205,00</t>
  </si>
  <si>
    <t>S=salário médio mensal</t>
  </si>
  <si>
    <t>20=Dedução sobre o valor do almoço</t>
  </si>
  <si>
    <t>(CA-0,20*CA)/S</t>
  </si>
  <si>
    <t>VALE TRANSPORTE</t>
  </si>
  <si>
    <t>CT=custo do transporte por pessoa</t>
  </si>
  <si>
    <t>dia</t>
  </si>
  <si>
    <t xml:space="preserve">Considerado o total 15 dias úteis/mês </t>
  </si>
  <si>
    <t>NT=numero de viagens/pessoa/mês</t>
  </si>
  <si>
    <t>viagens</t>
  </si>
  <si>
    <t>para vigia e 22 dias úteis/mês para</t>
  </si>
  <si>
    <t>agente de Portaria.</t>
  </si>
  <si>
    <t>0,06=Dedução sobre o salário mensal</t>
  </si>
  <si>
    <t>(CT x NT - 0,06 x S)/S</t>
  </si>
  <si>
    <t>EPI/UNIFORME</t>
  </si>
  <si>
    <t>CMAE=custo médio anual de EPI/oper</t>
  </si>
  <si>
    <t>Para o custo médio de EPI/Uniforme,</t>
  </si>
  <si>
    <t xml:space="preserve">foi considerado a média dos </t>
  </si>
  <si>
    <t>CMAE/(12 x S)</t>
  </si>
  <si>
    <t>valores cotados junto a 3 empresas.</t>
  </si>
  <si>
    <t>Valor mensal médio R$ 32,05.</t>
  </si>
  <si>
    <t>EPI (básico)</t>
  </si>
  <si>
    <t>CONSUMO ANUAL</t>
  </si>
  <si>
    <t>CUSTO UNITÁRIO</t>
  </si>
  <si>
    <t>CUSTO TOTAL</t>
  </si>
  <si>
    <t>camisa</t>
  </si>
  <si>
    <t>und</t>
  </si>
  <si>
    <t>bota de borracha</t>
  </si>
  <si>
    <t>par</t>
  </si>
  <si>
    <t>farda tática</t>
  </si>
  <si>
    <t>CALC. DE QUANT. HORAS NOTURNAS P/ 12X36</t>
  </si>
  <si>
    <t>QUANTIDADE DE PLANTÕES POR MÊS</t>
  </si>
  <si>
    <t>dias</t>
  </si>
  <si>
    <t>PELA CLT NOS HORARIOS MISTOS, CASO SEJA EXTENDIDO APÓS 5:00H DA MANHÃ, TERÁ DIREITO AO ADICIONAL , INCLUSIVE ENTRE AS 5:00H ATÉ O FIM DO PLANTÃO.</t>
  </si>
  <si>
    <t>QUANT. HORAS P/ PLANTÃO(19:00 AS 7:00)</t>
  </si>
  <si>
    <t>HORA NOTURNA</t>
  </si>
  <si>
    <t>MIN</t>
  </si>
  <si>
    <t>QUANT. HORAS NOT. P/ PLANTÃO(19:00 AS 7:00)</t>
  </si>
  <si>
    <t>QUANTIDADE DE HORAS NOTURNAS P/MES</t>
  </si>
  <si>
    <t>CALC. DO VALOR DA HORA NOTURNA P/ 12X36</t>
  </si>
  <si>
    <t>SALÁRIO BASE MENSAL</t>
  </si>
  <si>
    <t>PELA CONVENÇÃO COLETIVA O PERCENTUAL APLICADO AO ADICIONAL NOTURNO É DE 30%</t>
  </si>
  <si>
    <t>QUANT. HORAS POR MÊS</t>
  </si>
  <si>
    <t>VALOR HORA NORMAL</t>
  </si>
  <si>
    <t>PRECENTUAL ADICIONAL NOTURNO</t>
  </si>
  <si>
    <t>ADICIONAL NOTURNO POR HORA</t>
  </si>
  <si>
    <t>Para que não haja prejuízo na prestação dos serviços, é necessário determinar o custo relativo à substituição de um trabalhador que não esteja presente no local contratado por
algum dos motivos previsto na legislação trabalhista. Como as condições de remuneração, adicionais e benefícios são as mesmas para o substituto, o custo de reposição do profissional ausente por um dia, corresponde ao custo diário do trabalhador normal.(IN nº 02, de 30 de abril de 2008)</t>
  </si>
  <si>
    <r>
      <t>Pelo IBGE ausencia por doença 5,96 dias/ano = 5,96/30dias=0,1987/12 =0,0165=</t>
    </r>
    <r>
      <rPr>
        <b/>
        <sz val="11"/>
        <color indexed="8"/>
        <rFont val="Calibri"/>
        <family val="2"/>
      </rPr>
      <t>1,65%</t>
    </r>
  </si>
  <si>
    <r>
      <t xml:space="preserve">Para licença paternidade =5dias/ano = 5/30dias=0,167/12 =0,0139 x 6,24%(tx fecundidade)= 0,000867 x 95,04%(partic masc)=0,000824 = </t>
    </r>
    <r>
      <rPr>
        <b/>
        <sz val="11"/>
        <color indexed="8"/>
        <rFont val="Calibri"/>
        <family val="2"/>
      </rPr>
      <t>0,082%</t>
    </r>
  </si>
  <si>
    <r>
      <t>Ausencias legais: 2,96 faltas/ano = 2,96/30dias=0,0987/12 =0,00823=</t>
    </r>
    <r>
      <rPr>
        <b/>
        <sz val="11"/>
        <color indexed="8"/>
        <rFont val="Calibri"/>
        <family val="2"/>
      </rPr>
      <t>0,82%</t>
    </r>
  </si>
  <si>
    <r>
      <t>Ausencia por acidente de trab: 0,91 dias/ano = 0,91/30dias=0,03/12 =0,0025=</t>
    </r>
    <r>
      <rPr>
        <b/>
        <sz val="11"/>
        <color indexed="8"/>
        <rFont val="Calibri"/>
        <family val="2"/>
      </rPr>
      <t>0,25%</t>
    </r>
  </si>
  <si>
    <t xml:space="preserve">TOTAL DE REPOSIÇÃO DE PROFISSIONAL AUSENTE =  </t>
  </si>
  <si>
    <t>Potência Nominal</t>
  </si>
  <si>
    <t>HP</t>
  </si>
  <si>
    <t>Trabalha em plena potência</t>
  </si>
  <si>
    <t>s/min</t>
  </si>
  <si>
    <t>Trabalha em média potência</t>
  </si>
  <si>
    <t>potência média de operação</t>
  </si>
  <si>
    <t>Fator de operação</t>
  </si>
  <si>
    <t>Trabalha em média</t>
  </si>
  <si>
    <t>min/h</t>
  </si>
  <si>
    <t>Fator de eficiência</t>
  </si>
  <si>
    <t>Fator de potência</t>
  </si>
  <si>
    <t>Potência média corrigida</t>
  </si>
  <si>
    <t>Consumo horário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</si>
</sst>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4" formatCode="_-&quot;R$&quot;\ * #,##0.00_-;\-&quot;R$&quot;\ * #,##0.00_-;_-&quot;R$&quot;\ 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#,##0.0000"/>
    <numFmt numFmtId="167" formatCode="0000"/>
    <numFmt numFmtId="168" formatCode="#,##0.00\ ;&quot; (&quot;#,##0.00\);&quot; -&quot;#\ ;@\ "/>
    <numFmt numFmtId="169" formatCode="&quot;R$ &quot;#,##0.00"/>
    <numFmt numFmtId="170" formatCode="_(&quot;R$&quot;* #,##0.00_);_(&quot;R$&quot;* \(#,##0.00\);_(&quot;R$&quot;* &quot;-&quot;??_);_(@_)"/>
    <numFmt numFmtId="171" formatCode="#,##0.000000"/>
    <numFmt numFmtId="172" formatCode="0.000%"/>
    <numFmt numFmtId="173" formatCode="_-* #,##0.0000_-;\-* #,##0.0000_-;_-* &quot;-&quot;??_-;_-@_-"/>
    <numFmt numFmtId="174" formatCode="_-* #,##0.00000_-;\-* #,##0.00000_-;_-* &quot;-&quot;??_-;_-@_-"/>
    <numFmt numFmtId="175" formatCode="_-&quot;R$&quot;\ * #,##0.00000_-;\-&quot;R$&quot;\ * #,##0.00000_-;_-&quot;R$&quot;\ * &quot;-&quot;??_-;_-@_-"/>
    <numFmt numFmtId="176" formatCode="0.0000%"/>
    <numFmt numFmtId="177" formatCode="0.00000"/>
    <numFmt numFmtId="178" formatCode="0.00000000"/>
    <numFmt numFmtId="179" formatCode="0.0%"/>
    <numFmt numFmtId="180" formatCode="0.000"/>
    <numFmt numFmtId="181" formatCode="&quot;R$&quot;\ #,##0.00"/>
  </numFmts>
  <fonts count="60"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0"/>
      <name val="Calibri"/>
      <family val="2"/>
    </font>
    <font>
      <sz val="14"/>
      <name val="Calibri"/>
      <family val="2"/>
    </font>
    <font>
      <sz val="16"/>
      <name val="Calibri"/>
      <family val="2"/>
    </font>
    <font>
      <sz val="10"/>
      <color indexed="8"/>
      <name val="Calibri"/>
      <family val="2"/>
    </font>
    <font>
      <b/>
      <sz val="13"/>
      <name val="Calibri"/>
      <family val="2"/>
    </font>
    <font>
      <b/>
      <sz val="14"/>
      <name val="Calibri"/>
      <family val="2"/>
    </font>
    <font>
      <b/>
      <sz val="10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sz val="22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0"/>
      <color indexed="10"/>
      <name val="Arial"/>
      <family val="2"/>
    </font>
    <font>
      <sz val="11"/>
      <color indexed="8"/>
      <name val="Calibri"/>
      <family val="2"/>
    </font>
    <font>
      <sz val="18"/>
      <name val="Arial"/>
      <family val="2"/>
    </font>
    <font>
      <sz val="16"/>
      <name val="Arial"/>
      <family val="2"/>
    </font>
    <font>
      <b/>
      <sz val="11"/>
      <color indexed="8"/>
      <name val="Calibri"/>
      <family val="2"/>
    </font>
    <font>
      <sz val="10"/>
      <name val="Verdana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3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Arial"/>
      <family val="2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2"/>
      <color indexed="10"/>
      <name val="Calibri"/>
      <family val="2"/>
      <scheme val="minor"/>
    </font>
    <font>
      <sz val="12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Verdana"/>
      <family val="2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name val="Calibri"/>
      <family val="2"/>
      <scheme val="minor"/>
    </font>
    <font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8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gray0625"/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39997558519241921"/>
        <bgColor indexed="64"/>
      </patternFill>
    </fill>
  </fills>
  <borders count="1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medium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64"/>
      </top>
      <bottom style="hair">
        <color indexed="8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rgb="FF0066CC"/>
      </left>
      <right style="thin">
        <color rgb="FF0066CC"/>
      </right>
      <top style="thin">
        <color rgb="FF0066CC"/>
      </top>
      <bottom/>
      <diagonal/>
    </border>
    <border>
      <left style="thin">
        <color rgb="FF0066CC"/>
      </left>
      <right style="thin">
        <color rgb="FF0066CC"/>
      </right>
      <top/>
      <bottom/>
      <diagonal/>
    </border>
    <border>
      <left style="thin">
        <color rgb="FF0066CC"/>
      </left>
      <right style="thin">
        <color rgb="FF0066CC"/>
      </right>
      <top/>
      <bottom style="thin">
        <color rgb="FF0066CC"/>
      </bottom>
      <diagonal/>
    </border>
    <border>
      <left style="thin">
        <color rgb="FF0066CC"/>
      </left>
      <right style="thin">
        <color rgb="FF0066CC"/>
      </right>
      <top style="thin">
        <color rgb="FF0066CC"/>
      </top>
      <bottom style="thin">
        <color rgb="FF0066CC"/>
      </bottom>
      <diagonal/>
    </border>
  </borders>
  <cellStyleXfs count="17">
    <xf numFmtId="0" fontId="0" fillId="0" borderId="0"/>
    <xf numFmtId="44" fontId="23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3" fillId="0" borderId="0"/>
    <xf numFmtId="0" fontId="2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9" fontId="2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ill="0" applyBorder="0" applyAlignment="0" applyProtection="0"/>
    <xf numFmtId="9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8" fontId="3" fillId="0" borderId="0" applyFill="0" applyBorder="0" applyAlignment="0" applyProtection="0"/>
    <xf numFmtId="0" fontId="3" fillId="0" borderId="0" applyFont="0" applyFill="0" applyBorder="0" applyAlignment="0" applyProtection="0"/>
  </cellStyleXfs>
  <cellXfs count="775">
    <xf numFmtId="0" fontId="0" fillId="0" borderId="0" xfId="0"/>
    <xf numFmtId="0" fontId="5" fillId="2" borderId="1" xfId="6" applyFont="1" applyFill="1" applyBorder="1"/>
    <xf numFmtId="0" fontId="5" fillId="2" borderId="0" xfId="6" applyFont="1" applyFill="1" applyBorder="1"/>
    <xf numFmtId="0" fontId="26" fillId="7" borderId="2" xfId="0" applyFont="1" applyFill="1" applyBorder="1" applyAlignment="1">
      <alignment horizontal="center" vertical="center" wrapText="1"/>
    </xf>
    <xf numFmtId="0" fontId="26" fillId="7" borderId="3" xfId="0" applyFont="1" applyFill="1" applyBorder="1" applyAlignment="1">
      <alignment horizontal="center" vertical="center" wrapText="1"/>
    </xf>
    <xf numFmtId="4" fontId="26" fillId="7" borderId="3" xfId="0" applyNumberFormat="1" applyFont="1" applyFill="1" applyBorder="1" applyAlignment="1">
      <alignment horizontal="center" vertical="center" wrapText="1"/>
    </xf>
    <xf numFmtId="165" fontId="26" fillId="7" borderId="3" xfId="0" applyNumberFormat="1" applyFont="1" applyFill="1" applyBorder="1" applyAlignment="1">
      <alignment horizontal="center" vertical="center" wrapText="1"/>
    </xf>
    <xf numFmtId="10" fontId="26" fillId="7" borderId="4" xfId="10" applyNumberFormat="1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28" fillId="0" borderId="0" xfId="0" applyFont="1" applyBorder="1" applyAlignment="1">
      <alignment horizontal="center" vertical="top" wrapText="1"/>
    </xf>
    <xf numFmtId="4" fontId="28" fillId="0" borderId="0" xfId="0" applyNumberFormat="1" applyFont="1" applyBorder="1" applyAlignment="1">
      <alignment horizontal="right" vertical="top" wrapText="1"/>
    </xf>
    <xf numFmtId="166" fontId="28" fillId="0" borderId="0" xfId="0" applyNumberFormat="1" applyFont="1" applyBorder="1" applyAlignment="1">
      <alignment horizontal="right" vertical="top" wrapText="1"/>
    </xf>
    <xf numFmtId="166" fontId="29" fillId="0" borderId="0" xfId="0" applyNumberFormat="1" applyFont="1" applyBorder="1" applyAlignment="1">
      <alignment horizontal="right" vertical="top" wrapText="1"/>
    </xf>
    <xf numFmtId="2" fontId="28" fillId="0" borderId="0" xfId="0" applyNumberFormat="1" applyFont="1" applyBorder="1" applyAlignment="1">
      <alignment horizontal="center" vertical="top"/>
    </xf>
    <xf numFmtId="0" fontId="28" fillId="0" borderId="0" xfId="0" applyFont="1" applyBorder="1" applyAlignment="1">
      <alignment horizontal="right" vertical="top"/>
    </xf>
    <xf numFmtId="0" fontId="28" fillId="0" borderId="5" xfId="0" applyFont="1" applyBorder="1" applyAlignment="1">
      <alignment horizontal="left" vertical="top" wrapText="1"/>
    </xf>
    <xf numFmtId="0" fontId="30" fillId="7" borderId="6" xfId="0" applyFont="1" applyFill="1" applyBorder="1" applyAlignment="1">
      <alignment horizontal="center" vertical="center" wrapText="1"/>
    </xf>
    <xf numFmtId="0" fontId="30" fillId="7" borderId="7" xfId="0" applyFont="1" applyFill="1" applyBorder="1" applyAlignment="1">
      <alignment vertical="center" wrapText="1"/>
    </xf>
    <xf numFmtId="0" fontId="30" fillId="7" borderId="8" xfId="0" applyFont="1" applyFill="1" applyBorder="1" applyAlignment="1">
      <alignment vertical="center" wrapText="1"/>
    </xf>
    <xf numFmtId="0" fontId="30" fillId="7" borderId="9" xfId="0" applyFont="1" applyFill="1" applyBorder="1" applyAlignment="1">
      <alignment vertical="center" wrapText="1"/>
    </xf>
    <xf numFmtId="165" fontId="30" fillId="7" borderId="7" xfId="0" applyNumberFormat="1" applyFont="1" applyFill="1" applyBorder="1" applyAlignment="1">
      <alignment horizontal="right" vertical="center"/>
    </xf>
    <xf numFmtId="10" fontId="30" fillId="7" borderId="10" xfId="10" applyNumberFormat="1" applyFont="1" applyFill="1" applyBorder="1" applyAlignment="1">
      <alignment horizontal="right" vertical="center"/>
    </xf>
    <xf numFmtId="0" fontId="27" fillId="2" borderId="11" xfId="0" applyFont="1" applyFill="1" applyBorder="1" applyAlignment="1">
      <alignment vertical="center"/>
    </xf>
    <xf numFmtId="0" fontId="27" fillId="2" borderId="8" xfId="0" applyFont="1" applyFill="1" applyBorder="1" applyAlignment="1">
      <alignment vertical="center"/>
    </xf>
    <xf numFmtId="165" fontId="30" fillId="7" borderId="10" xfId="0" applyNumberFormat="1" applyFont="1" applyFill="1" applyBorder="1" applyAlignment="1">
      <alignment horizontal="center" vertical="center" wrapText="1"/>
    </xf>
    <xf numFmtId="165" fontId="30" fillId="7" borderId="7" xfId="0" applyNumberFormat="1" applyFont="1" applyFill="1" applyBorder="1" applyAlignment="1">
      <alignment horizontal="right" vertical="center" wrapText="1"/>
    </xf>
    <xf numFmtId="0" fontId="5" fillId="2" borderId="1" xfId="6" applyFont="1" applyFill="1" applyBorder="1" applyAlignment="1">
      <alignment vertical="center"/>
    </xf>
    <xf numFmtId="0" fontId="5" fillId="2" borderId="0" xfId="6" applyFont="1" applyFill="1" applyBorder="1" applyAlignment="1">
      <alignment vertical="center"/>
    </xf>
    <xf numFmtId="0" fontId="5" fillId="2" borderId="12" xfId="6" applyFont="1" applyFill="1" applyBorder="1" applyAlignment="1">
      <alignment vertical="center"/>
    </xf>
    <xf numFmtId="0" fontId="5" fillId="2" borderId="13" xfId="6" applyFont="1" applyFill="1" applyBorder="1" applyAlignment="1">
      <alignment vertical="center"/>
    </xf>
    <xf numFmtId="0" fontId="5" fillId="2" borderId="14" xfId="6" applyFont="1" applyFill="1" applyBorder="1" applyAlignment="1">
      <alignment vertical="center"/>
    </xf>
    <xf numFmtId="17" fontId="2" fillId="2" borderId="15" xfId="7" applyNumberFormat="1" applyFont="1" applyFill="1" applyBorder="1" applyAlignment="1">
      <alignment horizontal="center" vertical="center" wrapText="1"/>
    </xf>
    <xf numFmtId="0" fontId="2" fillId="2" borderId="16" xfId="7" applyNumberFormat="1" applyFont="1" applyFill="1" applyBorder="1" applyAlignment="1">
      <alignment horizontal="center" vertical="center" wrapText="1"/>
    </xf>
    <xf numFmtId="0" fontId="31" fillId="8" borderId="17" xfId="5" applyFont="1" applyFill="1" applyBorder="1" applyAlignment="1">
      <alignment horizontal="center" vertical="center"/>
    </xf>
    <xf numFmtId="10" fontId="31" fillId="8" borderId="18" xfId="13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0" fontId="11" fillId="0" borderId="5" xfId="11" applyNumberFormat="1" applyFont="1" applyBorder="1" applyAlignment="1">
      <alignment horizontal="center" vertical="center" wrapText="1"/>
    </xf>
    <xf numFmtId="10" fontId="11" fillId="0" borderId="5" xfId="1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0" fontId="3" fillId="0" borderId="5" xfId="11" applyNumberFormat="1" applyFont="1" applyFill="1" applyBorder="1" applyAlignment="1">
      <alignment horizontal="center" vertical="center" wrapText="1"/>
    </xf>
    <xf numFmtId="10" fontId="3" fillId="0" borderId="5" xfId="11" applyNumberFormat="1" applyFont="1" applyBorder="1" applyAlignment="1">
      <alignment horizontal="center" vertical="center" wrapText="1"/>
    </xf>
    <xf numFmtId="0" fontId="11" fillId="7" borderId="19" xfId="5" applyFont="1" applyFill="1" applyBorder="1" applyAlignment="1">
      <alignment horizontal="center" vertical="center" wrapText="1"/>
    </xf>
    <xf numFmtId="0" fontId="31" fillId="8" borderId="1" xfId="5" applyFont="1" applyFill="1" applyBorder="1" applyAlignment="1">
      <alignment horizontal="left" vertical="center"/>
    </xf>
    <xf numFmtId="164" fontId="32" fillId="8" borderId="0" xfId="16" applyNumberFormat="1" applyFont="1" applyFill="1" applyBorder="1" applyAlignment="1">
      <alignment vertical="center"/>
    </xf>
    <xf numFmtId="4" fontId="27" fillId="8" borderId="0" xfId="3" applyNumberFormat="1" applyFont="1" applyFill="1" applyBorder="1" applyAlignment="1">
      <alignment vertical="center"/>
    </xf>
    <xf numFmtId="0" fontId="27" fillId="8" borderId="5" xfId="3" applyFont="1" applyFill="1" applyBorder="1" applyAlignment="1">
      <alignment vertical="center"/>
    </xf>
    <xf numFmtId="0" fontId="2" fillId="2" borderId="20" xfId="7" applyNumberFormat="1" applyFont="1" applyFill="1" applyBorder="1" applyAlignment="1">
      <alignment vertical="center" wrapText="1"/>
    </xf>
    <xf numFmtId="0" fontId="0" fillId="0" borderId="21" xfId="0" applyBorder="1"/>
    <xf numFmtId="0" fontId="0" fillId="0" borderId="16" xfId="0" applyBorder="1"/>
    <xf numFmtId="0" fontId="5" fillId="2" borderId="13" xfId="6" applyFont="1" applyFill="1" applyBorder="1" applyAlignment="1">
      <alignment horizontal="left"/>
    </xf>
    <xf numFmtId="0" fontId="5" fillId="2" borderId="22" xfId="6" applyFont="1" applyFill="1" applyBorder="1" applyAlignment="1"/>
    <xf numFmtId="0" fontId="5" fillId="2" borderId="14" xfId="6" applyFont="1" applyFill="1" applyBorder="1" applyAlignment="1"/>
    <xf numFmtId="0" fontId="2" fillId="2" borderId="15" xfId="7" applyNumberFormat="1" applyFont="1" applyFill="1" applyBorder="1" applyAlignment="1">
      <alignment horizontal="left" vertical="center" wrapText="1"/>
    </xf>
    <xf numFmtId="0" fontId="11" fillId="3" borderId="24" xfId="3" applyFont="1" applyFill="1" applyBorder="1" applyAlignment="1">
      <alignment vertical="center" wrapText="1"/>
    </xf>
    <xf numFmtId="0" fontId="11" fillId="3" borderId="22" xfId="3" applyFont="1" applyFill="1" applyBorder="1" applyAlignment="1">
      <alignment vertical="center" wrapText="1"/>
    </xf>
    <xf numFmtId="0" fontId="1" fillId="2" borderId="0" xfId="3" applyFont="1" applyFill="1" applyAlignment="1">
      <alignment vertical="center"/>
    </xf>
    <xf numFmtId="0" fontId="3" fillId="3" borderId="1" xfId="3" applyFont="1" applyFill="1" applyBorder="1" applyAlignment="1">
      <alignment vertical="center" wrapText="1"/>
    </xf>
    <xf numFmtId="0" fontId="11" fillId="3" borderId="25" xfId="3" applyFont="1" applyFill="1" applyBorder="1" applyAlignment="1">
      <alignment horizontal="center" vertical="center" wrapText="1"/>
    </xf>
    <xf numFmtId="0" fontId="3" fillId="3" borderId="26" xfId="3" applyFont="1" applyFill="1" applyBorder="1" applyAlignment="1">
      <alignment vertical="center" wrapText="1"/>
    </xf>
    <xf numFmtId="0" fontId="3" fillId="3" borderId="27" xfId="3" applyFont="1" applyFill="1" applyBorder="1" applyAlignment="1">
      <alignment horizontal="center" vertical="center" wrapText="1"/>
    </xf>
    <xf numFmtId="0" fontId="16" fillId="2" borderId="0" xfId="3" applyFont="1" applyFill="1" applyAlignment="1">
      <alignment vertical="center"/>
    </xf>
    <xf numFmtId="4" fontId="33" fillId="9" borderId="28" xfId="12" applyNumberFormat="1" applyFont="1" applyFill="1" applyBorder="1" applyAlignment="1">
      <alignment horizontal="center" vertical="center"/>
    </xf>
    <xf numFmtId="4" fontId="33" fillId="9" borderId="29" xfId="12" applyNumberFormat="1" applyFont="1" applyFill="1" applyBorder="1" applyAlignment="1">
      <alignment horizontal="center" vertical="center"/>
    </xf>
    <xf numFmtId="4" fontId="33" fillId="9" borderId="30" xfId="12" applyNumberFormat="1" applyFont="1" applyFill="1" applyBorder="1" applyAlignment="1">
      <alignment horizontal="center" vertical="center"/>
    </xf>
    <xf numFmtId="10" fontId="34" fillId="2" borderId="0" xfId="11" applyNumberFormat="1" applyFont="1" applyFill="1" applyAlignment="1">
      <alignment vertical="center"/>
    </xf>
    <xf numFmtId="0" fontId="3" fillId="2" borderId="0" xfId="3" applyFont="1" applyFill="1" applyAlignment="1">
      <alignment vertical="center"/>
    </xf>
    <xf numFmtId="4" fontId="33" fillId="8" borderId="29" xfId="12" applyNumberFormat="1" applyFont="1" applyFill="1" applyBorder="1" applyAlignment="1">
      <alignment horizontal="center" vertical="center"/>
    </xf>
    <xf numFmtId="4" fontId="33" fillId="8" borderId="30" xfId="12" applyNumberFormat="1" applyFont="1" applyFill="1" applyBorder="1" applyAlignment="1">
      <alignment horizontal="center" vertical="center"/>
    </xf>
    <xf numFmtId="4" fontId="33" fillId="8" borderId="28" xfId="12" applyNumberFormat="1" applyFont="1" applyFill="1" applyBorder="1" applyAlignment="1">
      <alignment horizontal="center" vertical="center"/>
    </xf>
    <xf numFmtId="10" fontId="17" fillId="2" borderId="0" xfId="11" applyNumberFormat="1" applyFont="1" applyFill="1" applyAlignment="1">
      <alignment vertical="center"/>
    </xf>
    <xf numFmtId="0" fontId="30" fillId="2" borderId="24" xfId="3" applyFont="1" applyFill="1" applyBorder="1" applyAlignment="1">
      <alignment horizontal="center" vertical="center"/>
    </xf>
    <xf numFmtId="0" fontId="35" fillId="2" borderId="31" xfId="3" applyFont="1" applyFill="1" applyBorder="1" applyAlignment="1">
      <alignment horizontal="left" vertical="center" wrapText="1"/>
    </xf>
    <xf numFmtId="10" fontId="36" fillId="2" borderId="31" xfId="11" applyNumberFormat="1" applyFont="1" applyFill="1" applyBorder="1" applyAlignment="1">
      <alignment horizontal="center" vertical="center"/>
    </xf>
    <xf numFmtId="9" fontId="37" fillId="2" borderId="31" xfId="12" applyFont="1" applyFill="1" applyBorder="1" applyAlignment="1">
      <alignment horizontal="center" vertical="center"/>
    </xf>
    <xf numFmtId="9" fontId="37" fillId="8" borderId="31" xfId="12" applyFont="1" applyFill="1" applyBorder="1" applyAlignment="1">
      <alignment horizontal="center" vertical="center"/>
    </xf>
    <xf numFmtId="4" fontId="33" fillId="8" borderId="31" xfId="12" applyNumberFormat="1" applyFont="1" applyFill="1" applyBorder="1" applyAlignment="1">
      <alignment horizontal="center" vertical="center"/>
    </xf>
    <xf numFmtId="10" fontId="33" fillId="8" borderId="31" xfId="10" applyNumberFormat="1" applyFont="1" applyFill="1" applyBorder="1" applyAlignment="1">
      <alignment horizontal="center" vertical="center"/>
    </xf>
    <xf numFmtId="10" fontId="33" fillId="8" borderId="14" xfId="12" applyNumberFormat="1" applyFont="1" applyFill="1" applyBorder="1" applyAlignment="1">
      <alignment horizontal="center" vertical="center"/>
    </xf>
    <xf numFmtId="0" fontId="30" fillId="2" borderId="1" xfId="3" applyFont="1" applyFill="1" applyBorder="1" applyAlignment="1">
      <alignment horizontal="center" vertical="center"/>
    </xf>
    <xf numFmtId="0" fontId="35" fillId="2" borderId="0" xfId="3" applyFont="1" applyFill="1" applyBorder="1" applyAlignment="1">
      <alignment horizontal="left" vertical="center" wrapText="1"/>
    </xf>
    <xf numFmtId="10" fontId="36" fillId="2" borderId="0" xfId="11" applyNumberFormat="1" applyFont="1" applyFill="1" applyBorder="1" applyAlignment="1">
      <alignment horizontal="center" vertical="center"/>
    </xf>
    <xf numFmtId="9" fontId="37" fillId="2" borderId="0" xfId="12" applyFont="1" applyFill="1" applyBorder="1" applyAlignment="1">
      <alignment horizontal="center" vertical="center"/>
    </xf>
    <xf numFmtId="9" fontId="37" fillId="8" borderId="0" xfId="12" applyFont="1" applyFill="1" applyBorder="1" applyAlignment="1">
      <alignment horizontal="center" vertical="center"/>
    </xf>
    <xf numFmtId="4" fontId="33" fillId="8" borderId="0" xfId="12" applyNumberFormat="1" applyFont="1" applyFill="1" applyBorder="1" applyAlignment="1">
      <alignment horizontal="center" vertical="center"/>
    </xf>
    <xf numFmtId="10" fontId="33" fillId="8" borderId="0" xfId="10" applyNumberFormat="1" applyFont="1" applyFill="1" applyBorder="1" applyAlignment="1">
      <alignment horizontal="center" vertical="center"/>
    </xf>
    <xf numFmtId="10" fontId="33" fillId="8" borderId="5" xfId="12" applyNumberFormat="1" applyFont="1" applyFill="1" applyBorder="1" applyAlignment="1">
      <alignment horizontal="center" vertical="center"/>
    </xf>
    <xf numFmtId="0" fontId="30" fillId="2" borderId="32" xfId="3" applyFont="1" applyFill="1" applyBorder="1" applyAlignment="1">
      <alignment horizontal="center" vertical="center"/>
    </xf>
    <xf numFmtId="0" fontId="35" fillId="2" borderId="21" xfId="3" applyFont="1" applyFill="1" applyBorder="1" applyAlignment="1">
      <alignment horizontal="left" vertical="center" wrapText="1"/>
    </xf>
    <xf numFmtId="10" fontId="36" fillId="2" borderId="21" xfId="11" applyNumberFormat="1" applyFont="1" applyFill="1" applyBorder="1" applyAlignment="1">
      <alignment horizontal="center" vertical="center"/>
    </xf>
    <xf numFmtId="9" fontId="37" fillId="2" borderId="21" xfId="12" applyFont="1" applyFill="1" applyBorder="1" applyAlignment="1">
      <alignment horizontal="center" vertical="center"/>
    </xf>
    <xf numFmtId="9" fontId="37" fillId="8" borderId="21" xfId="12" applyFont="1" applyFill="1" applyBorder="1" applyAlignment="1">
      <alignment horizontal="center" vertical="center"/>
    </xf>
    <xf numFmtId="4" fontId="33" fillId="8" borderId="21" xfId="12" applyNumberFormat="1" applyFont="1" applyFill="1" applyBorder="1" applyAlignment="1">
      <alignment horizontal="center" vertical="center"/>
    </xf>
    <xf numFmtId="10" fontId="33" fillId="8" borderId="21" xfId="10" applyNumberFormat="1" applyFont="1" applyFill="1" applyBorder="1" applyAlignment="1">
      <alignment horizontal="center" vertical="center"/>
    </xf>
    <xf numFmtId="10" fontId="33" fillId="8" borderId="16" xfId="12" applyNumberFormat="1" applyFont="1" applyFill="1" applyBorder="1" applyAlignment="1">
      <alignment horizontal="center" vertical="center"/>
    </xf>
    <xf numFmtId="170" fontId="38" fillId="2" borderId="0" xfId="3" applyNumberFormat="1" applyFont="1" applyFill="1" applyAlignment="1">
      <alignment vertical="center"/>
    </xf>
    <xf numFmtId="0" fontId="33" fillId="2" borderId="0" xfId="3" applyFont="1" applyFill="1" applyAlignment="1">
      <alignment vertical="center"/>
    </xf>
    <xf numFmtId="10" fontId="1" fillId="2" borderId="0" xfId="3" applyNumberFormat="1" applyFont="1" applyFill="1" applyAlignment="1">
      <alignment horizontal="left" vertical="center"/>
    </xf>
    <xf numFmtId="164" fontId="3" fillId="2" borderId="0" xfId="15" applyNumberFormat="1" applyFont="1" applyFill="1" applyAlignment="1">
      <alignment vertical="center"/>
    </xf>
    <xf numFmtId="4" fontId="1" fillId="2" borderId="0" xfId="3" applyNumberFormat="1" applyFont="1" applyFill="1" applyAlignment="1">
      <alignment horizontal="left" vertical="center"/>
    </xf>
    <xf numFmtId="0" fontId="1" fillId="2" borderId="0" xfId="3" applyFont="1" applyFill="1" applyAlignment="1">
      <alignment horizontal="left" vertical="center"/>
    </xf>
    <xf numFmtId="4" fontId="30" fillId="2" borderId="13" xfId="2" applyNumberFormat="1" applyFont="1" applyFill="1" applyBorder="1" applyAlignment="1">
      <alignment horizontal="center" vertical="center"/>
    </xf>
    <xf numFmtId="10" fontId="30" fillId="2" borderId="33" xfId="10" applyNumberFormat="1" applyFont="1" applyFill="1" applyBorder="1" applyAlignment="1">
      <alignment horizontal="center" vertical="center"/>
    </xf>
    <xf numFmtId="4" fontId="39" fillId="9" borderId="28" xfId="12" applyNumberFormat="1" applyFont="1" applyFill="1" applyBorder="1" applyAlignment="1">
      <alignment horizontal="center" vertical="center"/>
    </xf>
    <xf numFmtId="4" fontId="39" fillId="8" borderId="28" xfId="12" applyNumberFormat="1" applyFont="1" applyFill="1" applyBorder="1" applyAlignment="1">
      <alignment horizontal="center" vertical="center"/>
    </xf>
    <xf numFmtId="167" fontId="16" fillId="3" borderId="2" xfId="3" applyNumberFormat="1" applyFont="1" applyFill="1" applyBorder="1" applyAlignment="1">
      <alignment horizontal="center" vertical="center" wrapText="1"/>
    </xf>
    <xf numFmtId="0" fontId="16" fillId="3" borderId="3" xfId="3" applyFont="1" applyFill="1" applyBorder="1" applyAlignment="1">
      <alignment horizontal="center" vertical="center" wrapText="1"/>
    </xf>
    <xf numFmtId="164" fontId="16" fillId="2" borderId="3" xfId="15" applyNumberFormat="1" applyFont="1" applyFill="1" applyBorder="1" applyAlignment="1">
      <alignment horizontal="center" vertical="center"/>
    </xf>
    <xf numFmtId="0" fontId="2" fillId="2" borderId="24" xfId="6" applyNumberFormat="1" applyFont="1" applyFill="1" applyBorder="1" applyAlignment="1">
      <alignment horizontal="center" vertical="center"/>
    </xf>
    <xf numFmtId="0" fontId="23" fillId="0" borderId="1" xfId="3" applyNumberFormat="1" applyBorder="1"/>
    <xf numFmtId="0" fontId="23" fillId="0" borderId="26" xfId="3" applyNumberFormat="1" applyBorder="1"/>
    <xf numFmtId="0" fontId="5" fillId="2" borderId="34" xfId="6" applyNumberFormat="1" applyFont="1" applyFill="1" applyBorder="1" applyAlignment="1">
      <alignment horizontal="left" vertical="center"/>
    </xf>
    <xf numFmtId="0" fontId="40" fillId="0" borderId="26" xfId="3" applyNumberFormat="1" applyFont="1" applyBorder="1" applyAlignment="1">
      <alignment vertical="center"/>
    </xf>
    <xf numFmtId="0" fontId="5" fillId="2" borderId="35" xfId="6" applyFont="1" applyFill="1" applyBorder="1" applyAlignment="1">
      <alignment horizontal="left" vertical="center"/>
    </xf>
    <xf numFmtId="0" fontId="2" fillId="2" borderId="36" xfId="7" applyNumberFormat="1" applyFont="1" applyFill="1" applyBorder="1" applyAlignment="1">
      <alignment horizontal="center" vertical="center" wrapText="1"/>
    </xf>
    <xf numFmtId="0" fontId="41" fillId="4" borderId="1" xfId="0" applyFont="1" applyFill="1" applyBorder="1" applyAlignment="1">
      <alignment horizontal="right" wrapText="1"/>
    </xf>
    <xf numFmtId="0" fontId="41" fillId="4" borderId="0" xfId="0" applyFont="1" applyFill="1" applyBorder="1" applyAlignment="1">
      <alignment horizontal="left" wrapText="1"/>
    </xf>
    <xf numFmtId="0" fontId="41" fillId="4" borderId="0" xfId="0" applyFont="1" applyFill="1" applyBorder="1" applyAlignment="1">
      <alignment horizontal="right" wrapText="1"/>
    </xf>
    <xf numFmtId="0" fontId="41" fillId="4" borderId="5" xfId="0" applyFont="1" applyFill="1" applyBorder="1" applyAlignment="1">
      <alignment horizontal="right" wrapText="1"/>
    </xf>
    <xf numFmtId="0" fontId="42" fillId="0" borderId="0" xfId="0" applyFont="1"/>
    <xf numFmtId="0" fontId="41" fillId="0" borderId="37" xfId="0" applyFont="1" applyBorder="1" applyAlignment="1">
      <alignment horizontal="left" vertical="top" wrapText="1"/>
    </xf>
    <xf numFmtId="0" fontId="41" fillId="0" borderId="38" xfId="0" applyFont="1" applyBorder="1" applyAlignment="1">
      <alignment horizontal="left" vertical="top" wrapText="1"/>
    </xf>
    <xf numFmtId="0" fontId="41" fillId="0" borderId="39" xfId="0" applyFont="1" applyBorder="1" applyAlignment="1">
      <alignment horizontal="left" vertical="top" wrapText="1"/>
    </xf>
    <xf numFmtId="0" fontId="41" fillId="0" borderId="39" xfId="0" applyFont="1" applyBorder="1" applyAlignment="1">
      <alignment horizontal="center" vertical="top" wrapText="1"/>
    </xf>
    <xf numFmtId="166" fontId="42" fillId="0" borderId="39" xfId="0" applyNumberFormat="1" applyFont="1" applyBorder="1" applyAlignment="1">
      <alignment horizontal="right" vertical="top" wrapText="1"/>
    </xf>
    <xf numFmtId="171" fontId="42" fillId="0" borderId="0" xfId="0" applyNumberFormat="1" applyFont="1"/>
    <xf numFmtId="4" fontId="42" fillId="0" borderId="0" xfId="0" applyNumberFormat="1" applyFont="1"/>
    <xf numFmtId="0" fontId="2" fillId="2" borderId="1" xfId="7" applyNumberFormat="1" applyFont="1" applyFill="1" applyBorder="1" applyAlignment="1">
      <alignment horizontal="left" vertical="center" wrapText="1"/>
    </xf>
    <xf numFmtId="0" fontId="2" fillId="8" borderId="0" xfId="7" applyNumberFormat="1" applyFont="1" applyFill="1" applyBorder="1" applyAlignment="1">
      <alignment horizontal="center" vertical="center" wrapText="1"/>
    </xf>
    <xf numFmtId="17" fontId="2" fillId="2" borderId="0" xfId="7" applyNumberFormat="1" applyFont="1" applyFill="1" applyBorder="1" applyAlignment="1">
      <alignment horizontal="center" vertical="center" wrapText="1"/>
    </xf>
    <xf numFmtId="0" fontId="2" fillId="8" borderId="5" xfId="7" applyNumberFormat="1" applyFont="1" applyFill="1" applyBorder="1" applyAlignment="1">
      <alignment horizontal="center" vertical="center" wrapText="1"/>
    </xf>
    <xf numFmtId="0" fontId="41" fillId="0" borderId="40" xfId="0" applyFont="1" applyBorder="1" applyAlignment="1">
      <alignment horizontal="center" vertical="top" wrapText="1"/>
    </xf>
    <xf numFmtId="166" fontId="42" fillId="0" borderId="40" xfId="0" applyNumberFormat="1" applyFont="1" applyBorder="1" applyAlignment="1">
      <alignment horizontal="right" vertical="top" wrapText="1"/>
    </xf>
    <xf numFmtId="166" fontId="42" fillId="10" borderId="40" xfId="0" applyNumberFormat="1" applyFont="1" applyFill="1" applyBorder="1" applyAlignment="1">
      <alignment horizontal="right" vertical="top"/>
    </xf>
    <xf numFmtId="166" fontId="41" fillId="5" borderId="40" xfId="0" applyNumberFormat="1" applyFont="1" applyFill="1" applyBorder="1" applyAlignment="1">
      <alignment horizontal="right" vertical="top"/>
    </xf>
    <xf numFmtId="166" fontId="41" fillId="5" borderId="41" xfId="0" applyNumberFormat="1" applyFont="1" applyFill="1" applyBorder="1" applyAlignment="1">
      <alignment horizontal="right" vertical="top"/>
    </xf>
    <xf numFmtId="0" fontId="5" fillId="2" borderId="34" xfId="6" applyFont="1" applyFill="1" applyBorder="1" applyAlignment="1">
      <alignment horizontal="left" vertical="center"/>
    </xf>
    <xf numFmtId="164" fontId="30" fillId="8" borderId="28" xfId="15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2" fontId="3" fillId="0" borderId="5" xfId="11" applyNumberFormat="1" applyFont="1" applyFill="1" applyBorder="1" applyAlignment="1">
      <alignment horizontal="center" vertical="center" wrapText="1"/>
    </xf>
    <xf numFmtId="10" fontId="3" fillId="0" borderId="0" xfId="10" applyNumberFormat="1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top" wrapText="1"/>
    </xf>
    <xf numFmtId="164" fontId="30" fillId="9" borderId="42" xfId="15" applyNumberFormat="1" applyFont="1" applyFill="1" applyBorder="1" applyAlignment="1">
      <alignment horizontal="center" vertical="center"/>
    </xf>
    <xf numFmtId="164" fontId="30" fillId="8" borderId="42" xfId="15" applyNumberFormat="1" applyFont="1" applyFill="1" applyBorder="1" applyAlignment="1">
      <alignment horizontal="center" vertical="center"/>
    </xf>
    <xf numFmtId="4" fontId="30" fillId="8" borderId="43" xfId="15" applyNumberFormat="1" applyFont="1" applyFill="1" applyBorder="1" applyAlignment="1">
      <alignment horizontal="center" vertical="center"/>
    </xf>
    <xf numFmtId="10" fontId="30" fillId="8" borderId="33" xfId="11" applyNumberFormat="1" applyFont="1" applyFill="1" applyBorder="1" applyAlignment="1">
      <alignment horizontal="center" vertical="center"/>
    </xf>
    <xf numFmtId="2" fontId="34" fillId="2" borderId="0" xfId="11" applyNumberFormat="1" applyFont="1" applyFill="1" applyAlignment="1">
      <alignment vertical="center"/>
    </xf>
    <xf numFmtId="9" fontId="38" fillId="2" borderId="0" xfId="10" applyFont="1" applyFill="1" applyAlignment="1">
      <alignment vertical="center"/>
    </xf>
    <xf numFmtId="0" fontId="28" fillId="0" borderId="0" xfId="0" applyFont="1" applyBorder="1" applyAlignment="1">
      <alignment horizontal="left" vertical="top" wrapText="1"/>
    </xf>
    <xf numFmtId="4" fontId="29" fillId="0" borderId="0" xfId="0" applyNumberFormat="1" applyFont="1" applyBorder="1" applyAlignment="1">
      <alignment horizontal="right" vertical="top" wrapText="1"/>
    </xf>
    <xf numFmtId="174" fontId="28" fillId="0" borderId="0" xfId="0" applyNumberFormat="1" applyFont="1" applyBorder="1" applyAlignment="1">
      <alignment vertical="top"/>
    </xf>
    <xf numFmtId="0" fontId="28" fillId="0" borderId="32" xfId="0" applyFont="1" applyBorder="1" applyAlignment="1">
      <alignment horizontal="center" vertical="top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horizontal="right" vertical="center"/>
    </xf>
    <xf numFmtId="165" fontId="30" fillId="0" borderId="0" xfId="0" applyNumberFormat="1" applyFont="1" applyFill="1" applyBorder="1" applyAlignment="1">
      <alignment horizontal="center" vertical="center" wrapText="1"/>
    </xf>
    <xf numFmtId="165" fontId="30" fillId="0" borderId="0" xfId="0" applyNumberFormat="1" applyFont="1" applyFill="1" applyBorder="1" applyAlignment="1">
      <alignment horizontal="right" vertical="center" wrapText="1"/>
    </xf>
    <xf numFmtId="39" fontId="30" fillId="0" borderId="0" xfId="0" applyNumberFormat="1" applyFont="1" applyFill="1" applyBorder="1" applyAlignment="1">
      <alignment horizontal="center" vertical="center"/>
    </xf>
    <xf numFmtId="39" fontId="30" fillId="0" borderId="5" xfId="0" applyNumberFormat="1" applyFont="1" applyFill="1" applyBorder="1" applyAlignment="1">
      <alignment horizontal="center" vertical="center"/>
    </xf>
    <xf numFmtId="0" fontId="41" fillId="0" borderId="45" xfId="0" applyFont="1" applyBorder="1" applyAlignment="1">
      <alignment horizontal="left" vertical="top" wrapText="1"/>
    </xf>
    <xf numFmtId="0" fontId="41" fillId="0" borderId="45" xfId="0" applyFont="1" applyBorder="1" applyAlignment="1">
      <alignment horizontal="center" vertical="top" wrapText="1"/>
    </xf>
    <xf numFmtId="171" fontId="42" fillId="0" borderId="45" xfId="0" applyNumberFormat="1" applyFont="1" applyBorder="1" applyAlignment="1">
      <alignment horizontal="right" vertical="top" wrapText="1"/>
    </xf>
    <xf numFmtId="4" fontId="42" fillId="0" borderId="45" xfId="0" applyNumberFormat="1" applyFont="1" applyBorder="1" applyAlignment="1">
      <alignment horizontal="right" vertical="top" wrapText="1"/>
    </xf>
    <xf numFmtId="0" fontId="41" fillId="0" borderId="46" xfId="0" applyFont="1" applyBorder="1" applyAlignment="1">
      <alignment horizontal="left" vertical="top" wrapText="1"/>
    </xf>
    <xf numFmtId="4" fontId="42" fillId="0" borderId="47" xfId="0" applyNumberFormat="1" applyFont="1" applyBorder="1" applyAlignment="1">
      <alignment horizontal="right" vertical="top" wrapText="1"/>
    </xf>
    <xf numFmtId="0" fontId="28" fillId="0" borderId="48" xfId="0" applyFont="1" applyBorder="1" applyAlignment="1">
      <alignment horizontal="center" vertical="top" wrapText="1"/>
    </xf>
    <xf numFmtId="0" fontId="28" fillId="0" borderId="1" xfId="0" applyFont="1" applyBorder="1" applyAlignment="1">
      <alignment horizontal="center" vertical="center" wrapText="1"/>
    </xf>
    <xf numFmtId="0" fontId="43" fillId="7" borderId="49" xfId="0" applyFont="1" applyFill="1" applyBorder="1" applyAlignment="1">
      <alignment horizontal="center" vertical="center"/>
    </xf>
    <xf numFmtId="0" fontId="43" fillId="7" borderId="49" xfId="0" applyFont="1" applyFill="1" applyBorder="1" applyAlignment="1">
      <alignment horizontal="center" vertical="center" wrapText="1"/>
    </xf>
    <xf numFmtId="0" fontId="4" fillId="11" borderId="50" xfId="0" applyFont="1" applyFill="1" applyBorder="1" applyAlignment="1">
      <alignment vertical="center"/>
    </xf>
    <xf numFmtId="0" fontId="4" fillId="11" borderId="51" xfId="0" applyFont="1" applyFill="1" applyBorder="1" applyAlignment="1">
      <alignment vertical="center"/>
    </xf>
    <xf numFmtId="0" fontId="4" fillId="11" borderId="52" xfId="0" applyFont="1" applyFill="1" applyBorder="1" applyAlignment="1">
      <alignment vertical="center"/>
    </xf>
    <xf numFmtId="49" fontId="4" fillId="0" borderId="1" xfId="0" applyNumberFormat="1" applyFont="1" applyBorder="1" applyAlignment="1">
      <alignment horizontal="center" vertical="center"/>
    </xf>
    <xf numFmtId="0" fontId="2" fillId="0" borderId="53" xfId="0" applyFont="1" applyBorder="1" applyAlignment="1">
      <alignment vertical="center"/>
    </xf>
    <xf numFmtId="0" fontId="2" fillId="0" borderId="54" xfId="0" applyFont="1" applyBorder="1" applyAlignment="1">
      <alignment vertical="center"/>
    </xf>
    <xf numFmtId="0" fontId="2" fillId="0" borderId="5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11" borderId="56" xfId="0" applyFont="1" applyFill="1" applyBorder="1" applyAlignment="1">
      <alignment vertical="center"/>
    </xf>
    <xf numFmtId="0" fontId="4" fillId="11" borderId="29" xfId="0" applyFont="1" applyFill="1" applyBorder="1" applyAlignment="1">
      <alignment vertical="center"/>
    </xf>
    <xf numFmtId="0" fontId="4" fillId="11" borderId="57" xfId="0" applyFont="1" applyFill="1" applyBorder="1" applyAlignment="1">
      <alignment vertical="center"/>
    </xf>
    <xf numFmtId="49" fontId="4" fillId="0" borderId="32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2" fillId="0" borderId="49" xfId="0" applyFont="1" applyBorder="1" applyAlignment="1">
      <alignment vertical="center"/>
    </xf>
    <xf numFmtId="0" fontId="2" fillId="0" borderId="49" xfId="0" applyFont="1" applyBorder="1" applyAlignment="1">
      <alignment vertical="center" wrapText="1"/>
    </xf>
    <xf numFmtId="0" fontId="44" fillId="0" borderId="0" xfId="0" applyFont="1" applyBorder="1" applyAlignment="1">
      <alignment horizontal="justify" vertical="top" wrapText="1"/>
    </xf>
    <xf numFmtId="0" fontId="45" fillId="0" borderId="0" xfId="0" applyFont="1" applyBorder="1" applyAlignment="1">
      <alignment horizontal="justify" vertical="top" wrapText="1"/>
    </xf>
    <xf numFmtId="0" fontId="45" fillId="0" borderId="5" xfId="0" applyFont="1" applyBorder="1" applyAlignment="1">
      <alignment horizontal="justify" vertical="top" wrapText="1"/>
    </xf>
    <xf numFmtId="0" fontId="45" fillId="0" borderId="21" xfId="0" applyFont="1" applyBorder="1" applyAlignment="1">
      <alignment horizontal="justify" vertical="top" wrapText="1"/>
    </xf>
    <xf numFmtId="0" fontId="45" fillId="0" borderId="16" xfId="0" applyFont="1" applyBorder="1" applyAlignment="1">
      <alignment horizontal="justify" vertical="top" wrapText="1"/>
    </xf>
    <xf numFmtId="0" fontId="46" fillId="8" borderId="0" xfId="0" applyFont="1" applyFill="1" applyAlignment="1">
      <alignment vertical="center"/>
    </xf>
    <xf numFmtId="0" fontId="47" fillId="8" borderId="0" xfId="0" applyFont="1" applyFill="1" applyAlignment="1">
      <alignment vertical="center"/>
    </xf>
    <xf numFmtId="0" fontId="46" fillId="8" borderId="0" xfId="0" applyFont="1" applyFill="1" applyAlignment="1">
      <alignment horizontal="right" vertical="center"/>
    </xf>
    <xf numFmtId="0" fontId="46" fillId="8" borderId="0" xfId="0" applyFont="1" applyFill="1" applyAlignment="1">
      <alignment horizontal="left" vertical="center"/>
    </xf>
    <xf numFmtId="0" fontId="48" fillId="8" borderId="1" xfId="4" applyFont="1" applyFill="1" applyBorder="1" applyAlignment="1">
      <alignment vertical="center" wrapText="1"/>
    </xf>
    <xf numFmtId="0" fontId="48" fillId="8" borderId="0" xfId="4" applyFont="1" applyFill="1" applyBorder="1" applyAlignment="1">
      <alignment vertical="center" wrapText="1"/>
    </xf>
    <xf numFmtId="0" fontId="48" fillId="8" borderId="5" xfId="4" applyFont="1" applyFill="1" applyBorder="1" applyAlignment="1">
      <alignment vertical="center" wrapText="1"/>
    </xf>
    <xf numFmtId="0" fontId="5" fillId="2" borderId="24" xfId="6" applyFont="1" applyFill="1" applyBorder="1" applyAlignment="1"/>
    <xf numFmtId="0" fontId="2" fillId="2" borderId="31" xfId="6" applyNumberFormat="1" applyFont="1" applyFill="1" applyBorder="1" applyAlignment="1">
      <alignment horizontal="center" vertical="center"/>
    </xf>
    <xf numFmtId="0" fontId="23" fillId="0" borderId="0" xfId="3" applyNumberFormat="1" applyBorder="1"/>
    <xf numFmtId="0" fontId="23" fillId="0" borderId="61" xfId="3" applyNumberFormat="1" applyBorder="1"/>
    <xf numFmtId="0" fontId="5" fillId="2" borderId="62" xfId="6" applyNumberFormat="1" applyFont="1" applyFill="1" applyBorder="1" applyAlignment="1">
      <alignment horizontal="left" vertical="center"/>
    </xf>
    <xf numFmtId="0" fontId="40" fillId="0" borderId="61" xfId="3" applyNumberFormat="1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top" wrapText="1"/>
    </xf>
    <xf numFmtId="0" fontId="5" fillId="2" borderId="32" xfId="6" applyFont="1" applyFill="1" applyBorder="1" applyAlignment="1"/>
    <xf numFmtId="0" fontId="5" fillId="2" borderId="23" xfId="6" applyFont="1" applyFill="1" applyBorder="1" applyAlignment="1"/>
    <xf numFmtId="0" fontId="41" fillId="6" borderId="110" xfId="0" applyFont="1" applyFill="1" applyBorder="1" applyAlignment="1">
      <alignment horizontal="left" vertical="top" wrapText="1"/>
    </xf>
    <xf numFmtId="0" fontId="41" fillId="6" borderId="111" xfId="0" applyFont="1" applyFill="1" applyBorder="1" applyAlignment="1">
      <alignment horizontal="left" vertical="top" wrapText="1"/>
    </xf>
    <xf numFmtId="0" fontId="41" fillId="6" borderId="111" xfId="0" applyFont="1" applyFill="1" applyBorder="1" applyAlignment="1">
      <alignment horizontal="center" vertical="top" wrapText="1"/>
    </xf>
    <xf numFmtId="171" fontId="41" fillId="6" borderId="111" xfId="0" applyNumberFormat="1" applyFont="1" applyFill="1" applyBorder="1" applyAlignment="1">
      <alignment horizontal="right" vertical="top" wrapText="1"/>
    </xf>
    <xf numFmtId="4" fontId="41" fillId="6" borderId="111" xfId="0" applyNumberFormat="1" applyFont="1" applyFill="1" applyBorder="1" applyAlignment="1">
      <alignment horizontal="right" vertical="top" wrapText="1"/>
    </xf>
    <xf numFmtId="4" fontId="41" fillId="6" borderId="112" xfId="0" applyNumberFormat="1" applyFont="1" applyFill="1" applyBorder="1" applyAlignment="1">
      <alignment horizontal="right" vertical="top" wrapText="1"/>
    </xf>
    <xf numFmtId="0" fontId="28" fillId="0" borderId="64" xfId="0" applyFont="1" applyBorder="1" applyAlignment="1">
      <alignment horizontal="right" vertical="top"/>
    </xf>
    <xf numFmtId="0" fontId="28" fillId="0" borderId="65" xfId="0" applyFont="1" applyBorder="1" applyAlignment="1">
      <alignment horizontal="left" vertical="top" wrapText="1"/>
    </xf>
    <xf numFmtId="0" fontId="42" fillId="13" borderId="0" xfId="0" applyFont="1" applyFill="1"/>
    <xf numFmtId="0" fontId="31" fillId="12" borderId="66" xfId="0" applyFont="1" applyFill="1" applyBorder="1" applyAlignment="1">
      <alignment horizontal="center" vertical="center" wrapText="1"/>
    </xf>
    <xf numFmtId="0" fontId="31" fillId="12" borderId="67" xfId="0" applyFont="1" applyFill="1" applyBorder="1" applyAlignment="1">
      <alignment horizontal="center" vertical="center" wrapText="1"/>
    </xf>
    <xf numFmtId="4" fontId="31" fillId="12" borderId="67" xfId="0" applyNumberFormat="1" applyFont="1" applyFill="1" applyBorder="1" applyAlignment="1">
      <alignment horizontal="right" vertical="center" wrapText="1"/>
    </xf>
    <xf numFmtId="4" fontId="29" fillId="0" borderId="64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8" fillId="0" borderId="19" xfId="0" applyFont="1" applyBorder="1" applyAlignment="1">
      <alignment vertical="top" wrapText="1"/>
    </xf>
    <xf numFmtId="0" fontId="28" fillId="0" borderId="68" xfId="0" applyFont="1" applyBorder="1" applyAlignment="1">
      <alignment vertical="top" wrapText="1"/>
    </xf>
    <xf numFmtId="0" fontId="28" fillId="0" borderId="44" xfId="0" applyFont="1" applyBorder="1" applyAlignment="1">
      <alignment vertical="top" wrapText="1"/>
    </xf>
    <xf numFmtId="44" fontId="42" fillId="0" borderId="0" xfId="1" applyFont="1"/>
    <xf numFmtId="175" fontId="42" fillId="0" borderId="0" xfId="1" applyNumberFormat="1" applyFont="1"/>
    <xf numFmtId="44" fontId="42" fillId="0" borderId="0" xfId="0" applyNumberFormat="1" applyFont="1"/>
    <xf numFmtId="176" fontId="23" fillId="0" borderId="0" xfId="10" applyNumberFormat="1" applyFont="1"/>
    <xf numFmtId="4" fontId="31" fillId="12" borderId="67" xfId="0" applyNumberFormat="1" applyFont="1" applyFill="1" applyBorder="1" applyAlignment="1">
      <alignment vertical="center" wrapText="1"/>
    </xf>
    <xf numFmtId="10" fontId="23" fillId="0" borderId="0" xfId="10" applyNumberFormat="1" applyFont="1"/>
    <xf numFmtId="10" fontId="0" fillId="0" borderId="0" xfId="0" applyNumberFormat="1"/>
    <xf numFmtId="0" fontId="0" fillId="0" borderId="67" xfId="0" applyBorder="1"/>
    <xf numFmtId="0" fontId="0" fillId="0" borderId="14" xfId="0" applyBorder="1"/>
    <xf numFmtId="44" fontId="0" fillId="0" borderId="0" xfId="0" applyNumberFormat="1" applyBorder="1"/>
    <xf numFmtId="10" fontId="31" fillId="12" borderId="67" xfId="10" applyNumberFormat="1" applyFont="1" applyFill="1" applyBorder="1" applyAlignment="1">
      <alignment horizontal="center" vertical="center" wrapText="1"/>
    </xf>
    <xf numFmtId="10" fontId="28" fillId="0" borderId="64" xfId="10" applyNumberFormat="1" applyFont="1" applyBorder="1" applyAlignment="1">
      <alignment vertical="center"/>
    </xf>
    <xf numFmtId="0" fontId="0" fillId="0" borderId="0" xfId="0" applyProtection="1">
      <protection hidden="1"/>
    </xf>
    <xf numFmtId="0" fontId="0" fillId="13" borderId="0" xfId="0" applyFill="1" applyProtection="1">
      <protection locked="0"/>
    </xf>
    <xf numFmtId="9" fontId="23" fillId="0" borderId="0" xfId="10" applyFont="1" applyProtection="1">
      <protection hidden="1"/>
    </xf>
    <xf numFmtId="177" fontId="0" fillId="0" borderId="0" xfId="0" applyNumberFormat="1" applyProtection="1">
      <protection hidden="1"/>
    </xf>
    <xf numFmtId="171" fontId="41" fillId="0" borderId="45" xfId="0" applyNumberFormat="1" applyFont="1" applyBorder="1" applyAlignment="1">
      <alignment horizontal="center" vertical="center" wrapText="1"/>
    </xf>
    <xf numFmtId="4" fontId="41" fillId="0" borderId="45" xfId="0" applyNumberFormat="1" applyFont="1" applyBorder="1" applyAlignment="1">
      <alignment horizontal="center" vertical="center" wrapText="1"/>
    </xf>
    <xf numFmtId="4" fontId="41" fillId="0" borderId="47" xfId="0" applyNumberFormat="1" applyFont="1" applyBorder="1" applyAlignment="1">
      <alignment horizontal="center" vertical="center" wrapText="1"/>
    </xf>
    <xf numFmtId="0" fontId="49" fillId="0" borderId="38" xfId="0" applyFont="1" applyBorder="1" applyAlignment="1">
      <alignment horizontal="right" vertical="top" wrapText="1"/>
    </xf>
    <xf numFmtId="0" fontId="49" fillId="0" borderId="39" xfId="0" applyFont="1" applyBorder="1" applyAlignment="1">
      <alignment horizontal="left" vertical="top" wrapText="1"/>
    </xf>
    <xf numFmtId="0" fontId="49" fillId="0" borderId="39" xfId="0" applyFont="1" applyBorder="1" applyAlignment="1">
      <alignment horizontal="center" vertical="top" wrapText="1"/>
    </xf>
    <xf numFmtId="171" fontId="49" fillId="0" borderId="39" xfId="0" applyNumberFormat="1" applyFont="1" applyBorder="1" applyAlignment="1">
      <alignment horizontal="right" vertical="top" wrapText="1"/>
    </xf>
    <xf numFmtId="4" fontId="49" fillId="0" borderId="39" xfId="0" applyNumberFormat="1" applyFont="1" applyBorder="1" applyAlignment="1">
      <alignment horizontal="right" vertical="top" wrapText="1"/>
    </xf>
    <xf numFmtId="4" fontId="49" fillId="0" borderId="40" xfId="0" applyNumberFormat="1" applyFont="1" applyBorder="1" applyAlignment="1">
      <alignment horizontal="right" vertical="top" wrapText="1"/>
    </xf>
    <xf numFmtId="178" fontId="0" fillId="0" borderId="0" xfId="0" applyNumberFormat="1" applyProtection="1">
      <protection hidden="1"/>
    </xf>
    <xf numFmtId="0" fontId="27" fillId="0" borderId="1" xfId="0" applyFont="1" applyBorder="1" applyAlignment="1">
      <alignment horizontal="center" vertical="center" wrapText="1"/>
    </xf>
    <xf numFmtId="0" fontId="41" fillId="0" borderId="0" xfId="0" applyFont="1"/>
    <xf numFmtId="0" fontId="0" fillId="0" borderId="0" xfId="0" applyAlignment="1">
      <alignment horizontal="center"/>
    </xf>
    <xf numFmtId="0" fontId="22" fillId="0" borderId="38" xfId="0" applyFont="1" applyBorder="1" applyAlignment="1">
      <alignment horizontal="right" vertical="top" wrapText="1"/>
    </xf>
    <xf numFmtId="0" fontId="22" fillId="0" borderId="39" xfId="0" applyFont="1" applyBorder="1" applyAlignment="1">
      <alignment horizontal="left" vertical="top" wrapText="1"/>
    </xf>
    <xf numFmtId="0" fontId="22" fillId="0" borderId="39" xfId="0" applyFont="1" applyBorder="1" applyAlignment="1">
      <alignment horizontal="center" vertical="top" wrapText="1"/>
    </xf>
    <xf numFmtId="171" fontId="22" fillId="0" borderId="39" xfId="0" applyNumberFormat="1" applyFont="1" applyBorder="1" applyAlignment="1">
      <alignment horizontal="right" vertical="top" wrapText="1"/>
    </xf>
    <xf numFmtId="4" fontId="22" fillId="0" borderId="39" xfId="0" applyNumberFormat="1" applyFont="1" applyBorder="1" applyAlignment="1">
      <alignment horizontal="right" vertical="top" wrapText="1"/>
    </xf>
    <xf numFmtId="4" fontId="22" fillId="0" borderId="40" xfId="0" applyNumberFormat="1" applyFont="1" applyBorder="1" applyAlignment="1">
      <alignment horizontal="right" vertical="top" wrapText="1"/>
    </xf>
    <xf numFmtId="0" fontId="28" fillId="0" borderId="64" xfId="0" applyFont="1" applyBorder="1" applyAlignment="1">
      <alignment horizontal="left" vertical="top"/>
    </xf>
    <xf numFmtId="0" fontId="28" fillId="0" borderId="64" xfId="0" applyFont="1" applyBorder="1" applyAlignment="1">
      <alignment vertical="top"/>
    </xf>
    <xf numFmtId="0" fontId="28" fillId="0" borderId="65" xfId="0" applyFont="1" applyBorder="1" applyAlignment="1">
      <alignment vertical="top"/>
    </xf>
    <xf numFmtId="0" fontId="0" fillId="0" borderId="0" xfId="0" applyFont="1" applyAlignment="1">
      <alignment horizontal="center"/>
    </xf>
    <xf numFmtId="0" fontId="0" fillId="0" borderId="28" xfId="0" applyBorder="1" applyAlignment="1">
      <alignment horizontal="center"/>
    </xf>
    <xf numFmtId="4" fontId="51" fillId="0" borderId="28" xfId="0" applyNumberFormat="1" applyFont="1" applyBorder="1" applyAlignment="1">
      <alignment horizontal="center" vertical="center" wrapText="1"/>
    </xf>
    <xf numFmtId="4" fontId="0" fillId="0" borderId="28" xfId="0" applyNumberFormat="1" applyBorder="1" applyAlignment="1">
      <alignment horizontal="center"/>
    </xf>
    <xf numFmtId="9" fontId="0" fillId="0" borderId="28" xfId="0" applyNumberFormat="1" applyBorder="1" applyAlignment="1">
      <alignment horizontal="center"/>
    </xf>
    <xf numFmtId="4" fontId="28" fillId="0" borderId="64" xfId="0" applyNumberFormat="1" applyFont="1" applyFill="1" applyBorder="1" applyAlignment="1">
      <alignment horizontal="right" vertical="top" wrapText="1"/>
    </xf>
    <xf numFmtId="0" fontId="28" fillId="0" borderId="64" xfId="0" applyFont="1" applyFill="1" applyBorder="1" applyAlignment="1">
      <alignment horizontal="center" vertical="top" wrapText="1"/>
    </xf>
    <xf numFmtId="4" fontId="28" fillId="0" borderId="64" xfId="0" applyNumberFormat="1" applyFont="1" applyFill="1" applyBorder="1" applyAlignment="1">
      <alignment horizontal="right" vertical="center" wrapText="1"/>
    </xf>
    <xf numFmtId="0" fontId="28" fillId="0" borderId="64" xfId="0" applyFont="1" applyFill="1" applyBorder="1" applyAlignment="1">
      <alignment horizontal="center" vertical="center" wrapText="1"/>
    </xf>
    <xf numFmtId="4" fontId="28" fillId="0" borderId="64" xfId="0" applyNumberFormat="1" applyFont="1" applyFill="1" applyBorder="1" applyAlignment="1">
      <alignment vertical="top" wrapText="1"/>
    </xf>
    <xf numFmtId="0" fontId="0" fillId="14" borderId="115" xfId="0" applyFill="1" applyBorder="1" applyAlignment="1">
      <alignment horizontal="center" vertical="center" wrapText="1"/>
    </xf>
    <xf numFmtId="17" fontId="52" fillId="14" borderId="116" xfId="0" applyNumberFormat="1" applyFont="1" applyFill="1" applyBorder="1" applyAlignment="1">
      <alignment horizontal="center" vertical="center" wrapText="1"/>
    </xf>
    <xf numFmtId="0" fontId="34" fillId="15" borderId="116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28" fillId="0" borderId="64" xfId="0" applyNumberFormat="1" applyFont="1" applyBorder="1" applyAlignment="1">
      <alignment horizontal="right" vertical="center" wrapText="1"/>
    </xf>
    <xf numFmtId="0" fontId="28" fillId="0" borderId="64" xfId="0" applyFont="1" applyBorder="1" applyAlignment="1">
      <alignment horizontal="right" vertical="center"/>
    </xf>
    <xf numFmtId="174" fontId="28" fillId="0" borderId="72" xfId="0" applyNumberFormat="1" applyFont="1" applyBorder="1" applyAlignment="1">
      <alignment vertical="top"/>
    </xf>
    <xf numFmtId="0" fontId="28" fillId="0" borderId="72" xfId="0" applyFont="1" applyBorder="1" applyAlignment="1">
      <alignment horizontal="right" vertical="top"/>
    </xf>
    <xf numFmtId="4" fontId="0" fillId="0" borderId="0" xfId="0" applyNumberFormat="1"/>
    <xf numFmtId="165" fontId="0" fillId="0" borderId="0" xfId="0" applyNumberFormat="1"/>
    <xf numFmtId="0" fontId="0" fillId="12" borderId="5" xfId="0" applyFill="1" applyBorder="1" applyAlignment="1">
      <alignment wrapText="1"/>
    </xf>
    <xf numFmtId="0" fontId="0" fillId="12" borderId="5" xfId="0" applyFill="1" applyBorder="1"/>
    <xf numFmtId="0" fontId="0" fillId="0" borderId="66" xfId="0" applyBorder="1"/>
    <xf numFmtId="173" fontId="28" fillId="0" borderId="0" xfId="0" applyNumberFormat="1" applyFont="1" applyBorder="1" applyAlignment="1">
      <alignment vertical="top"/>
    </xf>
    <xf numFmtId="0" fontId="28" fillId="0" borderId="0" xfId="0" applyFont="1" applyBorder="1" applyAlignment="1">
      <alignment horizontal="right" vertical="top" wrapText="1"/>
    </xf>
    <xf numFmtId="10" fontId="28" fillId="0" borderId="0" xfId="10" applyNumberFormat="1" applyFont="1" applyBorder="1" applyAlignment="1">
      <alignment vertical="top"/>
    </xf>
    <xf numFmtId="0" fontId="0" fillId="0" borderId="0" xfId="0" applyBorder="1"/>
    <xf numFmtId="0" fontId="0" fillId="0" borderId="24" xfId="0" applyBorder="1"/>
    <xf numFmtId="0" fontId="0" fillId="0" borderId="31" xfId="0" applyBorder="1"/>
    <xf numFmtId="0" fontId="28" fillId="0" borderId="63" xfId="0" applyFont="1" applyBorder="1" applyAlignment="1">
      <alignment horizontal="center" vertical="top" wrapText="1"/>
    </xf>
    <xf numFmtId="0" fontId="28" fillId="0" borderId="64" xfId="0" applyFont="1" applyBorder="1" applyAlignment="1">
      <alignment horizontal="center" vertical="top" wrapText="1"/>
    </xf>
    <xf numFmtId="4" fontId="28" fillId="0" borderId="64" xfId="0" applyNumberFormat="1" applyFont="1" applyBorder="1" applyAlignment="1">
      <alignment horizontal="right" vertical="top" wrapText="1"/>
    </xf>
    <xf numFmtId="4" fontId="29" fillId="0" borderId="64" xfId="0" applyNumberFormat="1" applyFont="1" applyBorder="1" applyAlignment="1">
      <alignment horizontal="right" vertical="top" wrapText="1"/>
    </xf>
    <xf numFmtId="10" fontId="28" fillId="0" borderId="64" xfId="10" applyNumberFormat="1" applyFont="1" applyBorder="1" applyAlignment="1">
      <alignment vertical="top"/>
    </xf>
    <xf numFmtId="0" fontId="28" fillId="0" borderId="71" xfId="0" applyFont="1" applyBorder="1" applyAlignment="1">
      <alignment horizontal="center" vertical="top" wrapText="1"/>
    </xf>
    <xf numFmtId="0" fontId="28" fillId="0" borderId="72" xfId="0" applyFont="1" applyBorder="1" applyAlignment="1">
      <alignment horizontal="left" vertical="top" wrapText="1"/>
    </xf>
    <xf numFmtId="0" fontId="28" fillId="0" borderId="72" xfId="0" applyFont="1" applyBorder="1" applyAlignment="1">
      <alignment horizontal="center" vertical="top" wrapText="1"/>
    </xf>
    <xf numFmtId="4" fontId="28" fillId="0" borderId="72" xfId="0" applyNumberFormat="1" applyFont="1" applyBorder="1" applyAlignment="1">
      <alignment horizontal="right" vertical="top" wrapText="1"/>
    </xf>
    <xf numFmtId="4" fontId="29" fillId="0" borderId="72" xfId="0" applyNumberFormat="1" applyFont="1" applyBorder="1" applyAlignment="1">
      <alignment horizontal="right" vertical="top" wrapText="1"/>
    </xf>
    <xf numFmtId="10" fontId="28" fillId="0" borderId="72" xfId="10" applyNumberFormat="1" applyFont="1" applyBorder="1" applyAlignment="1">
      <alignment vertical="top"/>
    </xf>
    <xf numFmtId="0" fontId="28" fillId="0" borderId="73" xfId="0" applyFont="1" applyBorder="1" applyAlignment="1">
      <alignment horizontal="left" vertical="top" wrapText="1"/>
    </xf>
    <xf numFmtId="0" fontId="31" fillId="12" borderId="63" xfId="0" applyFont="1" applyFill="1" applyBorder="1" applyAlignment="1">
      <alignment horizontal="center" vertical="center" wrapText="1"/>
    </xf>
    <xf numFmtId="0" fontId="31" fillId="12" borderId="64" xfId="0" applyFont="1" applyFill="1" applyBorder="1" applyAlignment="1">
      <alignment horizontal="center" vertical="center" wrapText="1"/>
    </xf>
    <xf numFmtId="4" fontId="31" fillId="12" borderId="64" xfId="0" applyNumberFormat="1" applyFont="1" applyFill="1" applyBorder="1" applyAlignment="1">
      <alignment horizontal="right" vertical="center" wrapText="1"/>
    </xf>
    <xf numFmtId="4" fontId="31" fillId="12" borderId="64" xfId="0" applyNumberFormat="1" applyFont="1" applyFill="1" applyBorder="1" applyAlignment="1">
      <alignment vertical="center" wrapText="1"/>
    </xf>
    <xf numFmtId="10" fontId="31" fillId="12" borderId="64" xfId="10" applyNumberFormat="1" applyFont="1" applyFill="1" applyBorder="1" applyAlignment="1">
      <alignment horizontal="center" vertical="center" wrapText="1"/>
    </xf>
    <xf numFmtId="4" fontId="22" fillId="10" borderId="40" xfId="0" applyNumberFormat="1" applyFont="1" applyFill="1" applyBorder="1" applyAlignment="1">
      <alignment horizontal="right" vertical="top"/>
    </xf>
    <xf numFmtId="0" fontId="42" fillId="0" borderId="38" xfId="0" applyFont="1" applyBorder="1" applyAlignment="1">
      <alignment horizontal="left" vertical="top" wrapText="1"/>
    </xf>
    <xf numFmtId="0" fontId="42" fillId="0" borderId="39" xfId="0" applyFont="1" applyBorder="1" applyAlignment="1">
      <alignment horizontal="left" vertical="top" wrapText="1"/>
    </xf>
    <xf numFmtId="0" fontId="42" fillId="0" borderId="39" xfId="0" applyFont="1" applyBorder="1" applyAlignment="1">
      <alignment horizontal="center" vertical="top" wrapText="1"/>
    </xf>
    <xf numFmtId="171" fontId="42" fillId="0" borderId="39" xfId="0" applyNumberFormat="1" applyFont="1" applyBorder="1" applyAlignment="1">
      <alignment horizontal="right" vertical="top" wrapText="1"/>
    </xf>
    <xf numFmtId="4" fontId="42" fillId="0" borderId="39" xfId="0" applyNumberFormat="1" applyFont="1" applyBorder="1" applyAlignment="1">
      <alignment horizontal="right" vertical="top" wrapText="1"/>
    </xf>
    <xf numFmtId="4" fontId="42" fillId="0" borderId="40" xfId="0" applyNumberFormat="1" applyFont="1" applyBorder="1" applyAlignment="1">
      <alignment horizontal="right" vertical="top" wrapText="1"/>
    </xf>
    <xf numFmtId="4" fontId="41" fillId="5" borderId="40" xfId="0" applyNumberFormat="1" applyFont="1" applyFill="1" applyBorder="1" applyAlignment="1">
      <alignment horizontal="right" vertical="top"/>
    </xf>
    <xf numFmtId="10" fontId="42" fillId="10" borderId="60" xfId="10" applyNumberFormat="1" applyFont="1" applyFill="1" applyBorder="1" applyAlignment="1">
      <alignment vertical="top"/>
    </xf>
    <xf numFmtId="10" fontId="42" fillId="10" borderId="39" xfId="10" applyNumberFormat="1" applyFont="1" applyFill="1" applyBorder="1" applyAlignment="1">
      <alignment horizontal="right" vertical="top"/>
    </xf>
    <xf numFmtId="0" fontId="49" fillId="10" borderId="58" xfId="0" applyFont="1" applyFill="1" applyBorder="1" applyAlignment="1">
      <alignment horizontal="right" vertical="top"/>
    </xf>
    <xf numFmtId="0" fontId="49" fillId="10" borderId="59" xfId="0" applyFont="1" applyFill="1" applyBorder="1" applyAlignment="1">
      <alignment horizontal="right" vertical="top"/>
    </xf>
    <xf numFmtId="10" fontId="22" fillId="10" borderId="39" xfId="10" applyNumberFormat="1" applyFont="1" applyFill="1" applyBorder="1" applyAlignment="1">
      <alignment horizontal="right" vertical="top"/>
    </xf>
    <xf numFmtId="0" fontId="42" fillId="0" borderId="38" xfId="0" applyFont="1" applyBorder="1" applyAlignment="1">
      <alignment horizontal="right" vertical="top" wrapText="1"/>
    </xf>
    <xf numFmtId="3" fontId="42" fillId="0" borderId="39" xfId="0" applyNumberFormat="1" applyFont="1" applyBorder="1" applyAlignment="1">
      <alignment horizontal="right" vertical="top" wrapText="1"/>
    </xf>
    <xf numFmtId="4" fontId="42" fillId="0" borderId="39" xfId="0" applyNumberFormat="1" applyFont="1" applyFill="1" applyBorder="1" applyAlignment="1">
      <alignment horizontal="right" vertical="top" wrapText="1"/>
    </xf>
    <xf numFmtId="9" fontId="42" fillId="10" borderId="39" xfId="10" applyFont="1" applyFill="1" applyBorder="1" applyAlignment="1">
      <alignment horizontal="right" vertical="top"/>
    </xf>
    <xf numFmtId="0" fontId="11" fillId="7" borderId="19" xfId="5" applyFont="1" applyFill="1" applyBorder="1" applyAlignment="1">
      <alignment horizontal="right" vertical="center" wrapText="1"/>
    </xf>
    <xf numFmtId="10" fontId="11" fillId="7" borderId="44" xfId="13" applyNumberFormat="1" applyFont="1" applyFill="1" applyBorder="1" applyAlignment="1">
      <alignment horizontal="center" vertical="center"/>
    </xf>
    <xf numFmtId="0" fontId="0" fillId="0" borderId="5" xfId="0" applyBorder="1"/>
    <xf numFmtId="10" fontId="28" fillId="0" borderId="64" xfId="10" applyNumberFormat="1" applyFont="1" applyBorder="1" applyAlignment="1">
      <alignment horizontal="right" vertical="top" wrapText="1"/>
    </xf>
    <xf numFmtId="179" fontId="2" fillId="0" borderId="35" xfId="10" applyNumberFormat="1" applyFont="1" applyBorder="1" applyAlignment="1">
      <alignment vertical="center"/>
    </xf>
    <xf numFmtId="179" fontId="2" fillId="0" borderId="74" xfId="10" applyNumberFormat="1" applyFont="1" applyBorder="1" applyAlignment="1">
      <alignment vertical="center"/>
    </xf>
    <xf numFmtId="179" fontId="4" fillId="0" borderId="74" xfId="0" applyNumberFormat="1" applyFont="1" applyBorder="1" applyAlignment="1">
      <alignment vertical="center"/>
    </xf>
    <xf numFmtId="0" fontId="2" fillId="0" borderId="75" xfId="0" applyFont="1" applyBorder="1" applyAlignment="1">
      <alignment vertical="center"/>
    </xf>
    <xf numFmtId="10" fontId="2" fillId="0" borderId="5" xfId="10" applyNumberFormat="1" applyFont="1" applyBorder="1" applyAlignment="1">
      <alignment vertical="center"/>
    </xf>
    <xf numFmtId="10" fontId="4" fillId="0" borderId="5" xfId="0" applyNumberFormat="1" applyFont="1" applyBorder="1" applyAlignment="1">
      <alignment vertical="center"/>
    </xf>
    <xf numFmtId="10" fontId="2" fillId="0" borderId="35" xfId="10" applyNumberFormat="1" applyFont="1" applyBorder="1" applyAlignment="1">
      <alignment vertical="center"/>
    </xf>
    <xf numFmtId="10" fontId="2" fillId="0" borderId="74" xfId="10" applyNumberFormat="1" applyFont="1" applyBorder="1" applyAlignment="1">
      <alignment vertical="center"/>
    </xf>
    <xf numFmtId="10" fontId="4" fillId="0" borderId="74" xfId="10" applyNumberFormat="1" applyFont="1" applyBorder="1" applyAlignment="1">
      <alignment vertical="center"/>
    </xf>
    <xf numFmtId="10" fontId="4" fillId="0" borderId="49" xfId="0" applyNumberFormat="1" applyFont="1" applyBorder="1" applyAlignment="1">
      <alignment vertical="center" wrapText="1"/>
    </xf>
    <xf numFmtId="0" fontId="22" fillId="10" borderId="59" xfId="0" applyFont="1" applyFill="1" applyBorder="1" applyAlignment="1">
      <alignment horizontal="right" vertical="top"/>
    </xf>
    <xf numFmtId="0" fontId="22" fillId="10" borderId="60" xfId="0" applyFont="1" applyFill="1" applyBorder="1" applyAlignment="1">
      <alignment horizontal="right" vertical="top"/>
    </xf>
    <xf numFmtId="4" fontId="42" fillId="10" borderId="40" xfId="0" applyNumberFormat="1" applyFont="1" applyFill="1" applyBorder="1" applyAlignment="1">
      <alignment horizontal="right" vertical="top"/>
    </xf>
    <xf numFmtId="2" fontId="42" fillId="10" borderId="60" xfId="0" applyNumberFormat="1" applyFont="1" applyFill="1" applyBorder="1" applyAlignment="1">
      <alignment horizontal="right" vertical="top"/>
    </xf>
    <xf numFmtId="2" fontId="42" fillId="10" borderId="39" xfId="10" applyNumberFormat="1" applyFont="1" applyFill="1" applyBorder="1" applyAlignment="1">
      <alignment horizontal="right" vertical="top"/>
    </xf>
    <xf numFmtId="0" fontId="25" fillId="0" borderId="76" xfId="0" applyFont="1" applyBorder="1"/>
    <xf numFmtId="2" fontId="26" fillId="0" borderId="77" xfId="0" applyNumberFormat="1" applyFont="1" applyBorder="1"/>
    <xf numFmtId="0" fontId="25" fillId="0" borderId="77" xfId="0" applyFont="1" applyBorder="1"/>
    <xf numFmtId="0" fontId="26" fillId="12" borderId="63" xfId="0" applyFont="1" applyFill="1" applyBorder="1"/>
    <xf numFmtId="0" fontId="0" fillId="12" borderId="64" xfId="0" applyFill="1" applyBorder="1"/>
    <xf numFmtId="10" fontId="42" fillId="10" borderId="39" xfId="0" applyNumberFormat="1" applyFont="1" applyFill="1" applyBorder="1" applyAlignment="1">
      <alignment horizontal="right" vertical="top"/>
    </xf>
    <xf numFmtId="0" fontId="26" fillId="8" borderId="19" xfId="0" applyFont="1" applyFill="1" applyBorder="1"/>
    <xf numFmtId="0" fontId="0" fillId="8" borderId="68" xfId="0" applyFill="1" applyBorder="1"/>
    <xf numFmtId="0" fontId="0" fillId="8" borderId="70" xfId="0" applyFill="1" applyBorder="1"/>
    <xf numFmtId="0" fontId="0" fillId="0" borderId="63" xfId="0" applyBorder="1"/>
    <xf numFmtId="4" fontId="0" fillId="0" borderId="64" xfId="0" applyNumberFormat="1" applyBorder="1"/>
    <xf numFmtId="0" fontId="0" fillId="0" borderId="64" xfId="0" applyBorder="1"/>
    <xf numFmtId="9" fontId="23" fillId="0" borderId="64" xfId="10" applyFont="1" applyBorder="1"/>
    <xf numFmtId="0" fontId="25" fillId="0" borderId="63" xfId="0" applyFont="1" applyBorder="1"/>
    <xf numFmtId="0" fontId="25" fillId="0" borderId="64" xfId="0" applyFont="1" applyBorder="1"/>
    <xf numFmtId="4" fontId="25" fillId="0" borderId="64" xfId="0" applyNumberFormat="1" applyFont="1" applyBorder="1"/>
    <xf numFmtId="9" fontId="25" fillId="0" borderId="64" xfId="10" applyFont="1" applyBorder="1"/>
    <xf numFmtId="44" fontId="25" fillId="0" borderId="64" xfId="1" applyFont="1" applyBorder="1"/>
    <xf numFmtId="44" fontId="24" fillId="0" borderId="64" xfId="1" applyFont="1" applyBorder="1"/>
    <xf numFmtId="44" fontId="48" fillId="0" borderId="64" xfId="0" applyNumberFormat="1" applyFont="1" applyBorder="1"/>
    <xf numFmtId="10" fontId="25" fillId="0" borderId="64" xfId="10" applyNumberFormat="1" applyFont="1" applyBorder="1"/>
    <xf numFmtId="2" fontId="48" fillId="0" borderId="64" xfId="1" applyNumberFormat="1" applyFont="1" applyBorder="1"/>
    <xf numFmtId="0" fontId="25" fillId="12" borderId="63" xfId="0" applyFont="1" applyFill="1" applyBorder="1" applyAlignment="1">
      <alignment horizontal="center" vertical="center" wrapText="1"/>
    </xf>
    <xf numFmtId="0" fontId="25" fillId="12" borderId="64" xfId="0" applyFont="1" applyFill="1" applyBorder="1" applyAlignment="1">
      <alignment horizontal="center" vertical="center" wrapText="1"/>
    </xf>
    <xf numFmtId="2" fontId="23" fillId="0" borderId="64" xfId="1" applyNumberFormat="1" applyFont="1" applyBorder="1"/>
    <xf numFmtId="44" fontId="23" fillId="0" borderId="64" xfId="1" applyFont="1" applyBorder="1"/>
    <xf numFmtId="0" fontId="25" fillId="12" borderId="63" xfId="0" applyFont="1" applyFill="1" applyBorder="1"/>
    <xf numFmtId="0" fontId="25" fillId="12" borderId="64" xfId="0" applyFont="1" applyFill="1" applyBorder="1"/>
    <xf numFmtId="44" fontId="25" fillId="12" borderId="64" xfId="0" applyNumberFormat="1" applyFont="1" applyFill="1" applyBorder="1"/>
    <xf numFmtId="0" fontId="24" fillId="0" borderId="64" xfId="0" applyFont="1" applyBorder="1"/>
    <xf numFmtId="180" fontId="24" fillId="0" borderId="64" xfId="0" applyNumberFormat="1" applyFont="1" applyBorder="1"/>
    <xf numFmtId="2" fontId="26" fillId="0" borderId="64" xfId="0" applyNumberFormat="1" applyFont="1" applyBorder="1"/>
    <xf numFmtId="181" fontId="24" fillId="0" borderId="64" xfId="0" applyNumberFormat="1" applyFont="1" applyBorder="1"/>
    <xf numFmtId="0" fontId="0" fillId="0" borderId="78" xfId="0" applyBorder="1"/>
    <xf numFmtId="9" fontId="24" fillId="0" borderId="79" xfId="10" applyFont="1" applyBorder="1"/>
    <xf numFmtId="0" fontId="0" fillId="0" borderId="79" xfId="0" applyBorder="1"/>
    <xf numFmtId="10" fontId="25" fillId="0" borderId="80" xfId="0" applyNumberFormat="1" applyFont="1" applyBorder="1" applyAlignment="1">
      <alignment horizontal="center"/>
    </xf>
    <xf numFmtId="4" fontId="26" fillId="7" borderId="1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4" fillId="0" borderId="63" xfId="0" applyFont="1" applyBorder="1"/>
    <xf numFmtId="0" fontId="0" fillId="0" borderId="0" xfId="0" applyFill="1" applyBorder="1"/>
    <xf numFmtId="0" fontId="28" fillId="0" borderId="69" xfId="0" applyFont="1" applyBorder="1" applyAlignment="1">
      <alignment horizontal="left" vertical="top" wrapText="1"/>
    </xf>
    <xf numFmtId="0" fontId="28" fillId="0" borderId="70" xfId="0" applyFont="1" applyBorder="1" applyAlignment="1">
      <alignment horizontal="left" vertical="top" wrapText="1"/>
    </xf>
    <xf numFmtId="0" fontId="30" fillId="7" borderId="9" xfId="0" applyFont="1" applyFill="1" applyBorder="1" applyAlignment="1">
      <alignment horizontal="right" vertical="center"/>
    </xf>
    <xf numFmtId="0" fontId="42" fillId="10" borderId="38" xfId="0" applyFont="1" applyFill="1" applyBorder="1" applyAlignment="1">
      <alignment horizontal="right" vertical="top"/>
    </xf>
    <xf numFmtId="0" fontId="42" fillId="10" borderId="39" xfId="0" applyFont="1" applyFill="1" applyBorder="1" applyAlignment="1">
      <alignment horizontal="right" vertical="top"/>
    </xf>
    <xf numFmtId="0" fontId="42" fillId="10" borderId="58" xfId="0" applyFont="1" applyFill="1" applyBorder="1" applyAlignment="1">
      <alignment horizontal="right" vertical="top"/>
    </xf>
    <xf numFmtId="0" fontId="42" fillId="10" borderId="59" xfId="0" applyFont="1" applyFill="1" applyBorder="1" applyAlignment="1">
      <alignment horizontal="right" vertical="top"/>
    </xf>
    <xf numFmtId="0" fontId="42" fillId="10" borderId="60" xfId="0" applyFont="1" applyFill="1" applyBorder="1" applyAlignment="1">
      <alignment horizontal="right" vertical="top"/>
    </xf>
    <xf numFmtId="0" fontId="42" fillId="13" borderId="38" xfId="0" applyFont="1" applyFill="1" applyBorder="1" applyAlignment="1">
      <alignment horizontal="right" vertical="top" wrapText="1"/>
    </xf>
    <xf numFmtId="0" fontId="42" fillId="13" borderId="39" xfId="0" applyFont="1" applyFill="1" applyBorder="1" applyAlignment="1">
      <alignment horizontal="right" vertical="top" wrapText="1"/>
    </xf>
    <xf numFmtId="0" fontId="42" fillId="13" borderId="40" xfId="0" applyFont="1" applyFill="1" applyBorder="1" applyAlignment="1">
      <alignment horizontal="right" vertical="top" wrapText="1"/>
    </xf>
    <xf numFmtId="0" fontId="28" fillId="0" borderId="64" xfId="0" applyFont="1" applyBorder="1" applyAlignment="1">
      <alignment horizontal="left" vertical="top" wrapText="1"/>
    </xf>
    <xf numFmtId="0" fontId="26" fillId="7" borderId="22" xfId="0" applyFont="1" applyFill="1" applyBorder="1" applyAlignment="1">
      <alignment horizontal="center" vertical="center" wrapText="1"/>
    </xf>
    <xf numFmtId="0" fontId="50" fillId="0" borderId="64" xfId="0" applyFont="1" applyBorder="1" applyAlignment="1">
      <alignment vertical="center" wrapText="1"/>
    </xf>
    <xf numFmtId="0" fontId="31" fillId="12" borderId="67" xfId="0" applyFont="1" applyFill="1" applyBorder="1" applyAlignment="1">
      <alignment horizontal="left" vertical="center" wrapText="1"/>
    </xf>
    <xf numFmtId="0" fontId="52" fillId="14" borderId="113" xfId="0" applyFont="1" applyFill="1" applyBorder="1" applyAlignment="1">
      <alignment horizontal="center" vertical="center" wrapText="1"/>
    </xf>
    <xf numFmtId="0" fontId="52" fillId="14" borderId="114" xfId="0" applyFont="1" applyFill="1" applyBorder="1" applyAlignment="1">
      <alignment horizontal="center" vertical="center" wrapText="1"/>
    </xf>
    <xf numFmtId="0" fontId="52" fillId="14" borderId="115" xfId="0" applyFont="1" applyFill="1" applyBorder="1" applyAlignment="1">
      <alignment horizontal="center" vertical="center" wrapText="1"/>
    </xf>
    <xf numFmtId="0" fontId="2" fillId="2" borderId="32" xfId="7" applyNumberFormat="1" applyFont="1" applyFill="1" applyBorder="1" applyAlignment="1">
      <alignment horizontal="left" vertical="center" wrapText="1"/>
    </xf>
    <xf numFmtId="0" fontId="0" fillId="0" borderId="1" xfId="0" applyBorder="1"/>
    <xf numFmtId="0" fontId="0" fillId="0" borderId="32" xfId="0" applyBorder="1"/>
    <xf numFmtId="17" fontId="2" fillId="2" borderId="23" xfId="7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0" fillId="7" borderId="11" xfId="0" applyFont="1" applyFill="1" applyBorder="1" applyAlignment="1">
      <alignment horizontal="right" vertical="center"/>
    </xf>
    <xf numFmtId="0" fontId="30" fillId="7" borderId="8" xfId="0" applyFont="1" applyFill="1" applyBorder="1" applyAlignment="1">
      <alignment horizontal="right" vertical="center"/>
    </xf>
    <xf numFmtId="0" fontId="30" fillId="7" borderId="9" xfId="0" applyFont="1" applyFill="1" applyBorder="1" applyAlignment="1">
      <alignment horizontal="right" vertical="center"/>
    </xf>
    <xf numFmtId="13" fontId="30" fillId="7" borderId="11" xfId="10" applyNumberFormat="1" applyFont="1" applyFill="1" applyBorder="1" applyAlignment="1">
      <alignment horizontal="center" vertical="center"/>
    </xf>
    <xf numFmtId="9" fontId="30" fillId="7" borderId="8" xfId="10" applyFont="1" applyFill="1" applyBorder="1" applyAlignment="1">
      <alignment horizontal="center" vertical="center"/>
    </xf>
    <xf numFmtId="9" fontId="30" fillId="7" borderId="81" xfId="10" applyFont="1" applyFill="1" applyBorder="1" applyAlignment="1">
      <alignment horizontal="center" vertical="center"/>
    </xf>
    <xf numFmtId="0" fontId="53" fillId="0" borderId="0" xfId="0" applyFont="1" applyBorder="1" applyAlignment="1">
      <alignment horizontal="justify" vertical="center" wrapText="1"/>
    </xf>
    <xf numFmtId="0" fontId="53" fillId="0" borderId="5" xfId="0" applyFont="1" applyBorder="1" applyAlignment="1">
      <alignment horizontal="justify" vertical="center" wrapText="1"/>
    </xf>
    <xf numFmtId="0" fontId="27" fillId="0" borderId="32" xfId="0" applyFont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31" fillId="12" borderId="64" xfId="0" applyFont="1" applyFill="1" applyBorder="1" applyAlignment="1">
      <alignment horizontal="left" vertical="center" wrapText="1"/>
    </xf>
    <xf numFmtId="4" fontId="31" fillId="12" borderId="64" xfId="0" applyNumberFormat="1" applyFont="1" applyFill="1" applyBorder="1" applyAlignment="1">
      <alignment horizontal="center" vertical="center" wrapText="1"/>
    </xf>
    <xf numFmtId="4" fontId="31" fillId="12" borderId="65" xfId="0" applyNumberFormat="1" applyFont="1" applyFill="1" applyBorder="1" applyAlignment="1">
      <alignment horizontal="center" vertical="center" wrapText="1"/>
    </xf>
    <xf numFmtId="0" fontId="28" fillId="0" borderId="69" xfId="0" applyFont="1" applyBorder="1" applyAlignment="1">
      <alignment horizontal="left" vertical="top" wrapText="1"/>
    </xf>
    <xf numFmtId="0" fontId="28" fillId="0" borderId="70" xfId="0" applyFont="1" applyBorder="1" applyAlignment="1">
      <alignment horizontal="left" vertical="top" wrapText="1"/>
    </xf>
    <xf numFmtId="0" fontId="28" fillId="0" borderId="69" xfId="0" applyFont="1" applyBorder="1" applyAlignment="1">
      <alignment horizontal="center" vertical="top" wrapText="1"/>
    </xf>
    <xf numFmtId="0" fontId="28" fillId="0" borderId="44" xfId="0" applyFont="1" applyBorder="1" applyAlignment="1">
      <alignment horizontal="center" vertical="top" wrapText="1"/>
    </xf>
    <xf numFmtId="9" fontId="30" fillId="7" borderId="11" xfId="10" applyFont="1" applyFill="1" applyBorder="1" applyAlignment="1">
      <alignment horizontal="center" vertical="center"/>
    </xf>
    <xf numFmtId="10" fontId="26" fillId="7" borderId="82" xfId="10" applyNumberFormat="1" applyFont="1" applyFill="1" applyBorder="1" applyAlignment="1">
      <alignment horizontal="center" vertical="center" wrapText="1"/>
    </xf>
    <xf numFmtId="10" fontId="26" fillId="7" borderId="83" xfId="10" applyNumberFormat="1" applyFont="1" applyFill="1" applyBorder="1" applyAlignment="1">
      <alignment horizontal="center" vertical="center" wrapText="1"/>
    </xf>
    <xf numFmtId="4" fontId="31" fillId="12" borderId="67" xfId="0" applyNumberFormat="1" applyFont="1" applyFill="1" applyBorder="1" applyAlignment="1">
      <alignment horizontal="center" vertical="center" wrapText="1"/>
    </xf>
    <xf numFmtId="4" fontId="31" fillId="12" borderId="84" xfId="0" applyNumberFormat="1" applyFont="1" applyFill="1" applyBorder="1" applyAlignment="1">
      <alignment horizontal="center" vertical="center" wrapText="1"/>
    </xf>
    <xf numFmtId="0" fontId="4" fillId="2" borderId="1" xfId="6" applyFont="1" applyFill="1" applyBorder="1" applyAlignment="1">
      <alignment horizontal="center" vertical="center"/>
    </xf>
    <xf numFmtId="0" fontId="4" fillId="2" borderId="0" xfId="6" applyFont="1" applyFill="1" applyBorder="1" applyAlignment="1">
      <alignment horizontal="center" vertical="center"/>
    </xf>
    <xf numFmtId="0" fontId="4" fillId="2" borderId="5" xfId="6" applyFont="1" applyFill="1" applyBorder="1" applyAlignment="1">
      <alignment horizontal="center" vertical="center"/>
    </xf>
    <xf numFmtId="0" fontId="4" fillId="2" borderId="32" xfId="6" applyFont="1" applyFill="1" applyBorder="1" applyAlignment="1">
      <alignment horizontal="center" vertical="center"/>
    </xf>
    <xf numFmtId="0" fontId="4" fillId="2" borderId="21" xfId="6" applyFont="1" applyFill="1" applyBorder="1" applyAlignment="1">
      <alignment horizontal="center" vertical="center"/>
    </xf>
    <xf numFmtId="0" fontId="4" fillId="2" borderId="16" xfId="6" applyFont="1" applyFill="1" applyBorder="1" applyAlignment="1">
      <alignment horizontal="center" vertical="center"/>
    </xf>
    <xf numFmtId="0" fontId="26" fillId="7" borderId="82" xfId="0" applyFont="1" applyFill="1" applyBorder="1" applyAlignment="1">
      <alignment horizontal="center" vertical="center" wrapText="1"/>
    </xf>
    <xf numFmtId="0" fontId="26" fillId="7" borderId="83" xfId="0" applyFont="1" applyFill="1" applyBorder="1" applyAlignment="1">
      <alignment horizontal="center" vertical="center" wrapText="1"/>
    </xf>
    <xf numFmtId="0" fontId="26" fillId="7" borderId="8" xfId="0" applyFont="1" applyFill="1" applyBorder="1" applyAlignment="1">
      <alignment horizontal="center" vertical="center" wrapText="1"/>
    </xf>
    <xf numFmtId="165" fontId="26" fillId="7" borderId="82" xfId="0" applyNumberFormat="1" applyFont="1" applyFill="1" applyBorder="1" applyAlignment="1">
      <alignment horizontal="center" vertical="center" wrapText="1"/>
    </xf>
    <xf numFmtId="165" fontId="26" fillId="7" borderId="83" xfId="0" applyNumberFormat="1" applyFont="1" applyFill="1" applyBorder="1" applyAlignment="1">
      <alignment horizontal="center" vertical="center" wrapText="1"/>
    </xf>
    <xf numFmtId="10" fontId="26" fillId="7" borderId="82" xfId="10" applyNumberFormat="1" applyFont="1" applyFill="1" applyBorder="1" applyAlignment="1">
      <alignment horizontal="center" vertical="center"/>
    </xf>
    <xf numFmtId="10" fontId="26" fillId="7" borderId="83" xfId="10" applyNumberFormat="1" applyFont="1" applyFill="1" applyBorder="1" applyAlignment="1">
      <alignment horizontal="center" vertical="center"/>
    </xf>
    <xf numFmtId="0" fontId="42" fillId="10" borderId="38" xfId="0" applyFont="1" applyFill="1" applyBorder="1" applyAlignment="1">
      <alignment horizontal="right" vertical="top"/>
    </xf>
    <xf numFmtId="0" fontId="42" fillId="10" borderId="39" xfId="0" applyFont="1" applyFill="1" applyBorder="1" applyAlignment="1">
      <alignment horizontal="right" vertical="top"/>
    </xf>
    <xf numFmtId="0" fontId="42" fillId="0" borderId="24" xfId="0" applyFont="1" applyBorder="1" applyAlignment="1">
      <alignment horizontal="center"/>
    </xf>
    <xf numFmtId="0" fontId="42" fillId="0" borderId="31" xfId="0" applyFont="1" applyBorder="1" applyAlignment="1">
      <alignment horizontal="center"/>
    </xf>
    <xf numFmtId="0" fontId="42" fillId="0" borderId="14" xfId="0" applyFont="1" applyBorder="1" applyAlignment="1">
      <alignment horizontal="center"/>
    </xf>
    <xf numFmtId="0" fontId="42" fillId="10" borderId="58" xfId="0" applyFont="1" applyFill="1" applyBorder="1" applyAlignment="1">
      <alignment horizontal="right" vertical="top"/>
    </xf>
    <xf numFmtId="0" fontId="42" fillId="10" borderId="59" xfId="0" applyFont="1" applyFill="1" applyBorder="1" applyAlignment="1">
      <alignment horizontal="right" vertical="top"/>
    </xf>
    <xf numFmtId="0" fontId="42" fillId="13" borderId="58" xfId="0" applyFont="1" applyFill="1" applyBorder="1" applyAlignment="1">
      <alignment horizontal="right" vertical="top" wrapText="1"/>
    </xf>
    <xf numFmtId="0" fontId="42" fillId="13" borderId="59" xfId="0" applyFont="1" applyFill="1" applyBorder="1" applyAlignment="1">
      <alignment horizontal="right" vertical="top" wrapText="1"/>
    </xf>
    <xf numFmtId="0" fontId="42" fillId="13" borderId="85" xfId="0" applyFont="1" applyFill="1" applyBorder="1" applyAlignment="1">
      <alignment horizontal="right" vertical="top" wrapText="1"/>
    </xf>
    <xf numFmtId="0" fontId="42" fillId="13" borderId="38" xfId="0" applyFont="1" applyFill="1" applyBorder="1" applyAlignment="1">
      <alignment horizontal="right" vertical="top" wrapText="1"/>
    </xf>
    <xf numFmtId="0" fontId="42" fillId="13" borderId="39" xfId="0" applyFont="1" applyFill="1" applyBorder="1" applyAlignment="1">
      <alignment horizontal="right" vertical="top" wrapText="1"/>
    </xf>
    <xf numFmtId="0" fontId="42" fillId="13" borderId="40" xfId="0" applyFont="1" applyFill="1" applyBorder="1" applyAlignment="1">
      <alignment horizontal="right" vertical="top" wrapText="1"/>
    </xf>
    <xf numFmtId="0" fontId="42" fillId="10" borderId="60" xfId="0" applyFont="1" applyFill="1" applyBorder="1" applyAlignment="1">
      <alignment horizontal="right" vertical="top"/>
    </xf>
    <xf numFmtId="164" fontId="11" fillId="0" borderId="0" xfId="14" applyNumberFormat="1" applyFont="1" applyBorder="1" applyAlignment="1">
      <alignment horizontal="left" vertical="center" wrapText="1"/>
    </xf>
    <xf numFmtId="164" fontId="3" fillId="0" borderId="0" xfId="14" applyNumberFormat="1" applyFont="1" applyBorder="1" applyAlignment="1">
      <alignment horizontal="left" vertical="center" wrapText="1"/>
    </xf>
    <xf numFmtId="0" fontId="0" fillId="0" borderId="24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4" xfId="0" applyBorder="1" applyAlignment="1">
      <alignment horizontal="center"/>
    </xf>
    <xf numFmtId="0" fontId="47" fillId="0" borderId="32" xfId="0" applyFont="1" applyBorder="1" applyAlignment="1">
      <alignment horizontal="center" vertical="center"/>
    </xf>
    <xf numFmtId="0" fontId="47" fillId="0" borderId="21" xfId="0" applyFont="1" applyBorder="1" applyAlignment="1">
      <alignment horizontal="center" vertical="center"/>
    </xf>
    <xf numFmtId="0" fontId="47" fillId="0" borderId="16" xfId="0" applyFont="1" applyBorder="1" applyAlignment="1">
      <alignment horizontal="center" vertical="center"/>
    </xf>
    <xf numFmtId="164" fontId="31" fillId="8" borderId="86" xfId="16" applyNumberFormat="1" applyFont="1" applyFill="1" applyBorder="1" applyAlignment="1">
      <alignment horizontal="center" vertical="center"/>
    </xf>
    <xf numFmtId="0" fontId="46" fillId="8" borderId="0" xfId="0" applyFont="1" applyFill="1" applyAlignment="1">
      <alignment horizontal="left" vertical="center" wrapText="1"/>
    </xf>
    <xf numFmtId="0" fontId="48" fillId="8" borderId="1" xfId="3" applyFont="1" applyFill="1" applyBorder="1" applyAlignment="1">
      <alignment horizontal="left" vertical="center" wrapText="1"/>
    </xf>
    <xf numFmtId="0" fontId="48" fillId="8" borderId="0" xfId="3" applyFont="1" applyFill="1" applyBorder="1" applyAlignment="1">
      <alignment horizontal="left" vertical="center" wrapText="1"/>
    </xf>
    <xf numFmtId="0" fontId="48" fillId="8" borderId="5" xfId="3" applyFont="1" applyFill="1" applyBorder="1" applyAlignment="1">
      <alignment horizontal="left" vertical="center" wrapText="1"/>
    </xf>
    <xf numFmtId="164" fontId="11" fillId="7" borderId="68" xfId="16" applyNumberFormat="1" applyFont="1" applyFill="1" applyBorder="1" applyAlignment="1">
      <alignment horizontal="right" vertical="center" wrapText="1"/>
    </xf>
    <xf numFmtId="0" fontId="28" fillId="0" borderId="69" xfId="0" applyFont="1" applyBorder="1" applyAlignment="1">
      <alignment horizontal="left" vertical="top"/>
    </xf>
    <xf numFmtId="0" fontId="28" fillId="0" borderId="44" xfId="0" applyFont="1" applyBorder="1" applyAlignment="1">
      <alignment horizontal="left" vertical="top"/>
    </xf>
    <xf numFmtId="0" fontId="28" fillId="0" borderId="69" xfId="0" applyFont="1" applyBorder="1" applyAlignment="1">
      <alignment horizontal="center" vertical="top"/>
    </xf>
    <xf numFmtId="0" fontId="28" fillId="0" borderId="44" xfId="0" applyFont="1" applyBorder="1" applyAlignment="1">
      <alignment horizontal="center" vertical="top"/>
    </xf>
    <xf numFmtId="0" fontId="52" fillId="14" borderId="113" xfId="0" applyFont="1" applyFill="1" applyBorder="1" applyAlignment="1">
      <alignment horizontal="center" vertical="center" wrapText="1"/>
    </xf>
    <xf numFmtId="0" fontId="52" fillId="14" borderId="114" xfId="0" applyFont="1" applyFill="1" applyBorder="1" applyAlignment="1">
      <alignment horizontal="center" vertical="center" wrapText="1"/>
    </xf>
    <xf numFmtId="0" fontId="52" fillId="14" borderId="115" xfId="0" applyFont="1" applyFill="1" applyBorder="1" applyAlignment="1">
      <alignment horizontal="center" vertical="center" wrapText="1"/>
    </xf>
    <xf numFmtId="0" fontId="50" fillId="0" borderId="69" xfId="0" applyFont="1" applyBorder="1" applyAlignment="1">
      <alignment horizontal="left" vertical="center" wrapText="1"/>
    </xf>
    <xf numFmtId="0" fontId="50" fillId="0" borderId="70" xfId="0" applyFont="1" applyBorder="1" applyAlignment="1">
      <alignment horizontal="left" vertical="center" wrapText="1"/>
    </xf>
    <xf numFmtId="0" fontId="28" fillId="0" borderId="64" xfId="0" applyFont="1" applyBorder="1" applyAlignment="1">
      <alignment horizontal="center" vertical="top"/>
    </xf>
    <xf numFmtId="0" fontId="28" fillId="0" borderId="65" xfId="0" applyFont="1" applyBorder="1" applyAlignment="1">
      <alignment horizontal="center" vertical="top"/>
    </xf>
    <xf numFmtId="0" fontId="27" fillId="0" borderId="64" xfId="0" applyFont="1" applyBorder="1" applyAlignment="1">
      <alignment horizontal="left" vertical="center" wrapText="1"/>
    </xf>
    <xf numFmtId="0" fontId="50" fillId="0" borderId="64" xfId="0" applyFont="1" applyBorder="1" applyAlignment="1">
      <alignment horizontal="left" vertical="center" wrapText="1"/>
    </xf>
    <xf numFmtId="0" fontId="50" fillId="0" borderId="64" xfId="0" applyFont="1" applyBorder="1" applyAlignment="1">
      <alignment vertical="center" wrapText="1"/>
    </xf>
    <xf numFmtId="0" fontId="28" fillId="0" borderId="64" xfId="0" applyFont="1" applyBorder="1" applyAlignment="1">
      <alignment horizontal="left" vertical="top" wrapText="1"/>
    </xf>
    <xf numFmtId="0" fontId="5" fillId="2" borderId="12" xfId="6" applyFont="1" applyFill="1" applyBorder="1" applyAlignment="1">
      <alignment horizontal="left"/>
    </xf>
    <xf numFmtId="0" fontId="5" fillId="2" borderId="14" xfId="6" applyFont="1" applyFill="1" applyBorder="1" applyAlignment="1">
      <alignment horizontal="left"/>
    </xf>
    <xf numFmtId="0" fontId="31" fillId="12" borderId="67" xfId="0" applyFont="1" applyFill="1" applyBorder="1" applyAlignment="1">
      <alignment horizontal="left" vertical="center" wrapText="1"/>
    </xf>
    <xf numFmtId="0" fontId="6" fillId="2" borderId="20" xfId="7" applyNumberFormat="1" applyFont="1" applyFill="1" applyBorder="1" applyAlignment="1">
      <alignment horizontal="center" vertical="center" wrapText="1"/>
    </xf>
    <xf numFmtId="0" fontId="6" fillId="2" borderId="16" xfId="7" applyNumberFormat="1" applyFont="1" applyFill="1" applyBorder="1" applyAlignment="1">
      <alignment horizontal="center" vertical="center" wrapText="1"/>
    </xf>
    <xf numFmtId="10" fontId="26" fillId="7" borderId="24" xfId="10" applyNumberFormat="1" applyFont="1" applyFill="1" applyBorder="1" applyAlignment="1">
      <alignment horizontal="center" vertical="center" wrapText="1"/>
    </xf>
    <xf numFmtId="10" fontId="26" fillId="7" borderId="14" xfId="10" applyNumberFormat="1" applyFont="1" applyFill="1" applyBorder="1" applyAlignment="1">
      <alignment horizontal="center" vertical="center" wrapText="1"/>
    </xf>
    <xf numFmtId="0" fontId="4" fillId="3" borderId="87" xfId="8" applyFont="1" applyFill="1" applyBorder="1" applyAlignment="1">
      <alignment horizontal="center" vertical="center"/>
    </xf>
    <xf numFmtId="0" fontId="4" fillId="3" borderId="61" xfId="8" applyFont="1" applyFill="1" applyBorder="1" applyAlignment="1">
      <alignment horizontal="center" vertical="center"/>
    </xf>
    <xf numFmtId="0" fontId="4" fillId="3" borderId="88" xfId="8" applyFont="1" applyFill="1" applyBorder="1" applyAlignment="1">
      <alignment horizontal="center" vertical="center"/>
    </xf>
    <xf numFmtId="0" fontId="10" fillId="3" borderId="4" xfId="8" applyFont="1" applyFill="1" applyBorder="1" applyAlignment="1">
      <alignment horizontal="center" vertical="center"/>
    </xf>
    <xf numFmtId="0" fontId="10" fillId="3" borderId="0" xfId="8" applyFont="1" applyFill="1" applyBorder="1" applyAlignment="1">
      <alignment horizontal="center" vertical="center"/>
    </xf>
    <xf numFmtId="0" fontId="10" fillId="3" borderId="5" xfId="8" applyFont="1" applyFill="1" applyBorder="1" applyAlignment="1">
      <alignment horizontal="center" vertical="center"/>
    </xf>
    <xf numFmtId="0" fontId="10" fillId="3" borderId="12" xfId="8" applyFont="1" applyFill="1" applyBorder="1" applyAlignment="1">
      <alignment horizontal="center" vertical="center"/>
    </xf>
    <xf numFmtId="0" fontId="10" fillId="3" borderId="31" xfId="8" applyFont="1" applyFill="1" applyBorder="1" applyAlignment="1">
      <alignment horizontal="center" vertical="center"/>
    </xf>
    <xf numFmtId="0" fontId="10" fillId="3" borderId="14" xfId="8" applyFont="1" applyFill="1" applyBorder="1" applyAlignment="1">
      <alignment horizontal="center" vertical="center"/>
    </xf>
    <xf numFmtId="0" fontId="5" fillId="2" borderId="53" xfId="9" applyFont="1" applyFill="1" applyBorder="1" applyAlignment="1">
      <alignment horizontal="left" vertical="center"/>
    </xf>
    <xf numFmtId="0" fontId="5" fillId="2" borderId="62" xfId="9" applyFont="1" applyFill="1" applyBorder="1" applyAlignment="1">
      <alignment horizontal="left" vertical="center"/>
    </xf>
    <xf numFmtId="0" fontId="5" fillId="2" borderId="89" xfId="9" applyFont="1" applyFill="1" applyBorder="1" applyAlignment="1">
      <alignment horizontal="left" vertical="center"/>
    </xf>
    <xf numFmtId="0" fontId="4" fillId="0" borderId="87" xfId="7" applyNumberFormat="1" applyFont="1" applyFill="1" applyBorder="1" applyAlignment="1">
      <alignment horizontal="center" vertical="center" wrapText="1"/>
    </xf>
    <xf numFmtId="0" fontId="4" fillId="0" borderId="61" xfId="7" applyNumberFormat="1" applyFont="1" applyFill="1" applyBorder="1" applyAlignment="1">
      <alignment horizontal="center" vertical="center" wrapText="1"/>
    </xf>
    <xf numFmtId="0" fontId="4" fillId="0" borderId="88" xfId="7" applyNumberFormat="1" applyFont="1" applyFill="1" applyBorder="1" applyAlignment="1">
      <alignment horizontal="center" vertical="center" wrapText="1"/>
    </xf>
    <xf numFmtId="0" fontId="26" fillId="7" borderId="12" xfId="0" applyFont="1" applyFill="1" applyBorder="1" applyAlignment="1">
      <alignment horizontal="center" vertical="center" wrapText="1"/>
    </xf>
    <xf numFmtId="0" fontId="26" fillId="7" borderId="22" xfId="0" applyFont="1" applyFill="1" applyBorder="1" applyAlignment="1">
      <alignment horizontal="center" vertical="center" wrapText="1"/>
    </xf>
    <xf numFmtId="39" fontId="30" fillId="7" borderId="11" xfId="0" applyNumberFormat="1" applyFont="1" applyFill="1" applyBorder="1" applyAlignment="1">
      <alignment horizontal="center" vertical="center"/>
    </xf>
    <xf numFmtId="39" fontId="30" fillId="7" borderId="8" xfId="0" applyNumberFormat="1" applyFont="1" applyFill="1" applyBorder="1" applyAlignment="1">
      <alignment horizontal="center" vertical="center"/>
    </xf>
    <xf numFmtId="39" fontId="30" fillId="7" borderId="81" xfId="0" applyNumberFormat="1" applyFont="1" applyFill="1" applyBorder="1" applyAlignment="1">
      <alignment horizontal="center" vertical="center"/>
    </xf>
    <xf numFmtId="165" fontId="30" fillId="7" borderId="7" xfId="0" applyNumberFormat="1" applyFont="1" applyFill="1" applyBorder="1" applyAlignment="1">
      <alignment horizontal="center" vertical="center"/>
    </xf>
    <xf numFmtId="165" fontId="30" fillId="7" borderId="81" xfId="0" applyNumberFormat="1" applyFont="1" applyFill="1" applyBorder="1" applyAlignment="1">
      <alignment horizontal="center" vertical="center"/>
    </xf>
    <xf numFmtId="4" fontId="30" fillId="7" borderId="7" xfId="0" applyNumberFormat="1" applyFont="1" applyFill="1" applyBorder="1" applyAlignment="1">
      <alignment horizontal="center" vertical="center" wrapText="1"/>
    </xf>
    <xf numFmtId="0" fontId="30" fillId="7" borderId="81" xfId="0" applyFont="1" applyFill="1" applyBorder="1" applyAlignment="1">
      <alignment horizontal="center" vertical="center" wrapText="1"/>
    </xf>
    <xf numFmtId="0" fontId="5" fillId="2" borderId="31" xfId="6" applyFont="1" applyFill="1" applyBorder="1" applyAlignment="1">
      <alignment horizontal="left"/>
    </xf>
    <xf numFmtId="0" fontId="5" fillId="2" borderId="22" xfId="6" applyFont="1" applyFill="1" applyBorder="1" applyAlignment="1">
      <alignment horizontal="left"/>
    </xf>
    <xf numFmtId="0" fontId="0" fillId="0" borderId="15" xfId="0" applyBorder="1" applyAlignment="1">
      <alignment horizontal="center"/>
    </xf>
    <xf numFmtId="0" fontId="5" fillId="2" borderId="13" xfId="6" applyFont="1" applyFill="1" applyBorder="1" applyAlignment="1">
      <alignment horizontal="center"/>
    </xf>
    <xf numFmtId="17" fontId="5" fillId="2" borderId="15" xfId="7" applyNumberFormat="1" applyFont="1" applyFill="1" applyBorder="1" applyAlignment="1">
      <alignment horizontal="center" vertical="center" wrapText="1"/>
    </xf>
    <xf numFmtId="0" fontId="2" fillId="2" borderId="4" xfId="7" applyNumberFormat="1" applyFont="1" applyFill="1" applyBorder="1" applyAlignment="1">
      <alignment horizontal="center" vertical="top" wrapText="1"/>
    </xf>
    <xf numFmtId="0" fontId="2" fillId="2" borderId="0" xfId="7" applyNumberFormat="1" applyFont="1" applyFill="1" applyBorder="1" applyAlignment="1">
      <alignment horizontal="center" vertical="top" wrapText="1"/>
    </xf>
    <xf numFmtId="0" fontId="2" fillId="2" borderId="5" xfId="7" applyNumberFormat="1" applyFont="1" applyFill="1" applyBorder="1" applyAlignment="1">
      <alignment horizontal="center" vertical="top" wrapText="1"/>
    </xf>
    <xf numFmtId="0" fontId="30" fillId="7" borderId="90" xfId="0" applyFont="1" applyFill="1" applyBorder="1" applyAlignment="1">
      <alignment horizontal="center" vertical="center" wrapText="1"/>
    </xf>
    <xf numFmtId="0" fontId="30" fillId="7" borderId="91" xfId="0" applyFont="1" applyFill="1" applyBorder="1" applyAlignment="1">
      <alignment horizontal="center" vertical="center" wrapText="1"/>
    </xf>
    <xf numFmtId="0" fontId="36" fillId="0" borderId="8" xfId="0" applyFont="1" applyBorder="1" applyAlignment="1">
      <alignment horizontal="center" vertical="center" wrapText="1"/>
    </xf>
    <xf numFmtId="0" fontId="36" fillId="0" borderId="81" xfId="0" applyFont="1" applyBorder="1" applyAlignment="1">
      <alignment horizontal="center" vertical="center" wrapText="1"/>
    </xf>
    <xf numFmtId="0" fontId="30" fillId="7" borderId="7" xfId="0" applyFont="1" applyFill="1" applyBorder="1" applyAlignment="1">
      <alignment horizontal="right" vertical="center" wrapText="1"/>
    </xf>
    <xf numFmtId="0" fontId="30" fillId="7" borderId="8" xfId="0" applyFont="1" applyFill="1" applyBorder="1" applyAlignment="1">
      <alignment horizontal="right" vertical="center" wrapText="1"/>
    </xf>
    <xf numFmtId="0" fontId="30" fillId="7" borderId="9" xfId="0" applyFont="1" applyFill="1" applyBorder="1" applyAlignment="1">
      <alignment horizontal="right" vertical="center" wrapText="1"/>
    </xf>
    <xf numFmtId="0" fontId="30" fillId="7" borderId="12" xfId="0" applyFont="1" applyFill="1" applyBorder="1" applyAlignment="1">
      <alignment horizontal="center" vertical="center" wrapText="1"/>
    </xf>
    <xf numFmtId="0" fontId="30" fillId="7" borderId="31" xfId="0" applyFont="1" applyFill="1" applyBorder="1" applyAlignment="1">
      <alignment horizontal="center" vertical="center" wrapText="1"/>
    </xf>
    <xf numFmtId="0" fontId="30" fillId="7" borderId="22" xfId="0" applyFont="1" applyFill="1" applyBorder="1" applyAlignment="1">
      <alignment horizontal="center" vertical="center" wrapText="1"/>
    </xf>
    <xf numFmtId="0" fontId="30" fillId="7" borderId="20" xfId="0" applyFont="1" applyFill="1" applyBorder="1" applyAlignment="1">
      <alignment horizontal="center" vertical="center" wrapText="1"/>
    </xf>
    <xf numFmtId="0" fontId="30" fillId="7" borderId="21" xfId="0" applyFont="1" applyFill="1" applyBorder="1" applyAlignment="1">
      <alignment horizontal="center" vertical="center" wrapText="1"/>
    </xf>
    <xf numFmtId="0" fontId="30" fillId="7" borderId="23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81" xfId="0" applyBorder="1" applyAlignment="1">
      <alignment horizontal="left" vertical="center" wrapText="1"/>
    </xf>
    <xf numFmtId="0" fontId="27" fillId="0" borderId="72" xfId="0" applyFont="1" applyBorder="1" applyAlignment="1">
      <alignment horizontal="left" vertical="center" wrapText="1"/>
    </xf>
    <xf numFmtId="0" fontId="48" fillId="8" borderId="1" xfId="3" applyFont="1" applyFill="1" applyBorder="1" applyAlignment="1">
      <alignment horizontal="left" vertical="top" wrapText="1"/>
    </xf>
    <xf numFmtId="0" fontId="48" fillId="8" borderId="0" xfId="3" applyFont="1" applyFill="1" applyBorder="1" applyAlignment="1">
      <alignment horizontal="left" vertical="top" wrapText="1"/>
    </xf>
    <xf numFmtId="0" fontId="48" fillId="8" borderId="5" xfId="3" applyFont="1" applyFill="1" applyBorder="1" applyAlignment="1">
      <alignment horizontal="left" vertical="top" wrapText="1"/>
    </xf>
    <xf numFmtId="0" fontId="2" fillId="2" borderId="24" xfId="6" applyFont="1" applyFill="1" applyBorder="1" applyAlignment="1">
      <alignment horizontal="center" vertical="center"/>
    </xf>
    <xf numFmtId="0" fontId="9" fillId="3" borderId="12" xfId="8" applyFont="1" applyFill="1" applyBorder="1" applyAlignment="1">
      <alignment horizontal="center" vertical="center"/>
    </xf>
    <xf numFmtId="0" fontId="54" fillId="0" borderId="31" xfId="3" applyFont="1" applyBorder="1" applyAlignment="1">
      <alignment horizontal="center" vertical="center"/>
    </xf>
    <xf numFmtId="0" fontId="54" fillId="0" borderId="14" xfId="3" applyFont="1" applyBorder="1" applyAlignment="1">
      <alignment horizontal="center" vertical="center"/>
    </xf>
    <xf numFmtId="0" fontId="55" fillId="0" borderId="0" xfId="3" applyFont="1" applyBorder="1" applyAlignment="1">
      <alignment vertical="center"/>
    </xf>
    <xf numFmtId="0" fontId="55" fillId="0" borderId="5" xfId="3" applyFont="1" applyBorder="1" applyAlignment="1">
      <alignment vertical="center"/>
    </xf>
    <xf numFmtId="0" fontId="23" fillId="0" borderId="61" xfId="3" applyBorder="1" applyAlignment="1">
      <alignment vertical="center"/>
    </xf>
    <xf numFmtId="0" fontId="23" fillId="0" borderId="88" xfId="3" applyBorder="1" applyAlignment="1">
      <alignment vertical="center"/>
    </xf>
    <xf numFmtId="0" fontId="23" fillId="0" borderId="62" xfId="3" applyBorder="1" applyAlignment="1">
      <alignment vertical="center"/>
    </xf>
    <xf numFmtId="0" fontId="23" fillId="0" borderId="89" xfId="3" applyBorder="1" applyAlignment="1">
      <alignment vertical="center"/>
    </xf>
    <xf numFmtId="0" fontId="4" fillId="0" borderId="20" xfId="7" applyNumberFormat="1" applyFont="1" applyFill="1" applyBorder="1" applyAlignment="1">
      <alignment horizontal="center" vertical="center" wrapText="1"/>
    </xf>
    <xf numFmtId="0" fontId="46" fillId="0" borderId="21" xfId="3" applyFont="1" applyBorder="1" applyAlignment="1">
      <alignment horizontal="center" vertical="center"/>
    </xf>
    <xf numFmtId="0" fontId="46" fillId="0" borderId="16" xfId="3" applyFont="1" applyBorder="1" applyAlignment="1">
      <alignment horizontal="center" vertical="center"/>
    </xf>
    <xf numFmtId="0" fontId="5" fillId="2" borderId="12" xfId="9" applyFont="1" applyFill="1" applyBorder="1" applyAlignment="1">
      <alignment horizontal="left" vertical="center"/>
    </xf>
    <xf numFmtId="0" fontId="5" fillId="2" borderId="31" xfId="9" applyFont="1" applyFill="1" applyBorder="1" applyAlignment="1">
      <alignment horizontal="left" vertical="center"/>
    </xf>
    <xf numFmtId="0" fontId="5" fillId="2" borderId="14" xfId="9" applyFont="1" applyFill="1" applyBorder="1" applyAlignment="1">
      <alignment horizontal="left" vertical="center"/>
    </xf>
    <xf numFmtId="0" fontId="7" fillId="2" borderId="1" xfId="7" applyNumberFormat="1" applyFont="1" applyFill="1" applyBorder="1" applyAlignment="1">
      <alignment horizontal="center" vertical="center" wrapText="1"/>
    </xf>
    <xf numFmtId="0" fontId="40" fillId="0" borderId="25" xfId="3" applyFont="1" applyBorder="1" applyAlignment="1">
      <alignment vertical="center"/>
    </xf>
    <xf numFmtId="0" fontId="40" fillId="0" borderId="1" xfId="3" applyFont="1" applyBorder="1" applyAlignment="1">
      <alignment vertical="center"/>
    </xf>
    <xf numFmtId="164" fontId="11" fillId="7" borderId="68" xfId="16" applyNumberFormat="1" applyFont="1" applyFill="1" applyBorder="1" applyAlignment="1">
      <alignment horizontal="center" vertical="center" wrapText="1"/>
    </xf>
    <xf numFmtId="0" fontId="2" fillId="2" borderId="4" xfId="7" applyNumberFormat="1" applyFont="1" applyFill="1" applyBorder="1" applyAlignment="1">
      <alignment horizontal="left" vertical="top" wrapText="1"/>
    </xf>
    <xf numFmtId="0" fontId="46" fillId="0" borderId="0" xfId="3" applyFont="1" applyBorder="1" applyAlignment="1">
      <alignment vertical="top"/>
    </xf>
    <xf numFmtId="0" fontId="46" fillId="0" borderId="5" xfId="3" applyFont="1" applyBorder="1" applyAlignment="1">
      <alignment vertical="top"/>
    </xf>
    <xf numFmtId="0" fontId="46" fillId="0" borderId="4" xfId="3" applyFont="1" applyBorder="1" applyAlignment="1">
      <alignment vertical="top"/>
    </xf>
    <xf numFmtId="0" fontId="5" fillId="2" borderId="24" xfId="6" applyFont="1" applyFill="1" applyBorder="1" applyAlignment="1">
      <alignment horizontal="left" vertical="center"/>
    </xf>
    <xf numFmtId="0" fontId="50" fillId="0" borderId="22" xfId="3" applyFont="1" applyBorder="1" applyAlignment="1">
      <alignment vertical="center"/>
    </xf>
    <xf numFmtId="0" fontId="2" fillId="2" borderId="32" xfId="7" applyNumberFormat="1" applyFont="1" applyFill="1" applyBorder="1" applyAlignment="1">
      <alignment horizontal="left" vertical="center" wrapText="1"/>
    </xf>
    <xf numFmtId="0" fontId="46" fillId="0" borderId="23" xfId="3" applyFont="1" applyBorder="1" applyAlignment="1">
      <alignment horizontal="left" vertical="center"/>
    </xf>
    <xf numFmtId="0" fontId="48" fillId="8" borderId="1" xfId="4" applyFont="1" applyFill="1" applyBorder="1" applyAlignment="1">
      <alignment horizontal="justify" vertical="center" wrapText="1"/>
    </xf>
    <xf numFmtId="0" fontId="48" fillId="8" borderId="0" xfId="4" applyFont="1" applyFill="1" applyBorder="1" applyAlignment="1">
      <alignment horizontal="justify" vertical="center" wrapText="1"/>
    </xf>
    <xf numFmtId="0" fontId="48" fillId="8" borderId="5" xfId="4" applyFont="1" applyFill="1" applyBorder="1" applyAlignment="1">
      <alignment horizontal="justify" vertical="center" wrapText="1"/>
    </xf>
    <xf numFmtId="0" fontId="5" fillId="2" borderId="12" xfId="9" applyFont="1" applyFill="1" applyBorder="1" applyAlignment="1">
      <alignment horizontal="left" vertical="top"/>
    </xf>
    <xf numFmtId="0" fontId="5" fillId="2" borderId="31" xfId="9" applyFont="1" applyFill="1" applyBorder="1" applyAlignment="1">
      <alignment horizontal="left" vertical="top"/>
    </xf>
    <xf numFmtId="0" fontId="5" fillId="2" borderId="14" xfId="9" applyFont="1" applyFill="1" applyBorder="1" applyAlignment="1">
      <alignment horizontal="left" vertical="top"/>
    </xf>
    <xf numFmtId="0" fontId="4" fillId="3" borderId="12" xfId="8" applyFont="1" applyFill="1" applyBorder="1" applyAlignment="1">
      <alignment horizontal="center"/>
    </xf>
    <xf numFmtId="0" fontId="46" fillId="0" borderId="31" xfId="0" applyFont="1" applyBorder="1" applyAlignment="1">
      <alignment horizontal="center"/>
    </xf>
    <xf numFmtId="0" fontId="46" fillId="0" borderId="14" xfId="0" applyFont="1" applyBorder="1" applyAlignment="1">
      <alignment horizontal="center"/>
    </xf>
    <xf numFmtId="0" fontId="4" fillId="3" borderId="4" xfId="8" applyFont="1" applyFill="1" applyBorder="1" applyAlignment="1">
      <alignment horizontal="center" vertical="center"/>
    </xf>
    <xf numFmtId="0" fontId="4" fillId="3" borderId="87" xfId="8" applyFont="1" applyFill="1" applyBorder="1" applyAlignment="1">
      <alignment horizontal="center" vertical="top"/>
    </xf>
    <xf numFmtId="0" fontId="5" fillId="2" borderId="53" xfId="9" applyFont="1" applyFill="1" applyBorder="1" applyAlignment="1">
      <alignment horizontal="left" vertical="top"/>
    </xf>
    <xf numFmtId="0" fontId="50" fillId="0" borderId="31" xfId="3" applyFont="1" applyBorder="1" applyAlignment="1">
      <alignment vertical="center"/>
    </xf>
    <xf numFmtId="0" fontId="43" fillId="7" borderId="11" xfId="0" applyFont="1" applyFill="1" applyBorder="1" applyAlignment="1">
      <alignment horizontal="center" vertical="center"/>
    </xf>
    <xf numFmtId="0" fontId="43" fillId="7" borderId="8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6" fillId="16" borderId="24" xfId="0" applyFont="1" applyFill="1" applyBorder="1" applyAlignment="1">
      <alignment horizontal="center" vertical="center"/>
    </xf>
    <xf numFmtId="0" fontId="56" fillId="16" borderId="31" xfId="0" applyFont="1" applyFill="1" applyBorder="1" applyAlignment="1">
      <alignment horizontal="center" vertical="center"/>
    </xf>
    <xf numFmtId="0" fontId="56" fillId="16" borderId="14" xfId="0" applyFont="1" applyFill="1" applyBorder="1" applyAlignment="1">
      <alignment horizontal="center" vertical="center"/>
    </xf>
    <xf numFmtId="10" fontId="30" fillId="2" borderId="92" xfId="12" applyNumberFormat="1" applyFont="1" applyFill="1" applyBorder="1" applyAlignment="1">
      <alignment horizontal="center" vertical="center"/>
    </xf>
    <xf numFmtId="10" fontId="30" fillId="2" borderId="93" xfId="12" applyNumberFormat="1" applyFont="1" applyFill="1" applyBorder="1" applyAlignment="1">
      <alignment horizontal="center" vertical="center"/>
    </xf>
    <xf numFmtId="44" fontId="30" fillId="2" borderId="94" xfId="3" applyNumberFormat="1" applyFont="1" applyFill="1" applyBorder="1" applyAlignment="1">
      <alignment horizontal="center" vertical="center"/>
    </xf>
    <xf numFmtId="44" fontId="30" fillId="2" borderId="95" xfId="3" applyNumberFormat="1" applyFont="1" applyFill="1" applyBorder="1" applyAlignment="1">
      <alignment horizontal="center" vertical="center"/>
    </xf>
    <xf numFmtId="44" fontId="30" fillId="2" borderId="52" xfId="3" applyNumberFormat="1" applyFont="1" applyFill="1" applyBorder="1" applyAlignment="1">
      <alignment horizontal="center" vertical="center"/>
    </xf>
    <xf numFmtId="10" fontId="30" fillId="2" borderId="96" xfId="12" applyNumberFormat="1" applyFont="1" applyFill="1" applyBorder="1" applyAlignment="1">
      <alignment horizontal="center" vertical="center"/>
    </xf>
    <xf numFmtId="10" fontId="33" fillId="8" borderId="92" xfId="10" applyNumberFormat="1" applyFont="1" applyFill="1" applyBorder="1" applyAlignment="1">
      <alignment horizontal="center" vertical="center"/>
    </xf>
    <xf numFmtId="10" fontId="33" fillId="8" borderId="96" xfId="10" applyNumberFormat="1" applyFont="1" applyFill="1" applyBorder="1" applyAlignment="1">
      <alignment horizontal="center" vertical="center"/>
    </xf>
    <xf numFmtId="4" fontId="33" fillId="8" borderId="94" xfId="12" applyNumberFormat="1" applyFont="1" applyFill="1" applyBorder="1" applyAlignment="1">
      <alignment horizontal="center" vertical="center"/>
    </xf>
    <xf numFmtId="4" fontId="33" fillId="8" borderId="95" xfId="12" applyNumberFormat="1" applyFont="1" applyFill="1" applyBorder="1" applyAlignment="1">
      <alignment horizontal="center" vertical="center"/>
    </xf>
    <xf numFmtId="10" fontId="30" fillId="2" borderId="92" xfId="11" applyNumberFormat="1" applyFont="1" applyFill="1" applyBorder="1" applyAlignment="1">
      <alignment horizontal="center" vertical="center"/>
    </xf>
    <xf numFmtId="10" fontId="30" fillId="2" borderId="96" xfId="11" applyNumberFormat="1" applyFont="1" applyFill="1" applyBorder="1" applyAlignment="1">
      <alignment horizontal="center" vertical="center"/>
    </xf>
    <xf numFmtId="0" fontId="36" fillId="8" borderId="11" xfId="3" applyFont="1" applyFill="1" applyBorder="1" applyAlignment="1">
      <alignment horizontal="center" vertical="center"/>
    </xf>
    <xf numFmtId="10" fontId="33" fillId="8" borderId="93" xfId="10" applyNumberFormat="1" applyFont="1" applyFill="1" applyBorder="1" applyAlignment="1">
      <alignment horizontal="center" vertical="center"/>
    </xf>
    <xf numFmtId="4" fontId="33" fillId="8" borderId="51" xfId="12" applyNumberFormat="1" applyFont="1" applyFill="1" applyBorder="1" applyAlignment="1">
      <alignment horizontal="center" vertical="center"/>
    </xf>
    <xf numFmtId="4" fontId="33" fillId="8" borderId="52" xfId="12" applyNumberFormat="1" applyFont="1" applyFill="1" applyBorder="1" applyAlignment="1">
      <alignment horizontal="center" vertical="center"/>
    </xf>
    <xf numFmtId="10" fontId="33" fillId="8" borderId="92" xfId="12" applyNumberFormat="1" applyFont="1" applyFill="1" applyBorder="1" applyAlignment="1">
      <alignment horizontal="center" vertical="center"/>
    </xf>
    <xf numFmtId="10" fontId="33" fillId="8" borderId="97" xfId="12" applyNumberFormat="1" applyFont="1" applyFill="1" applyBorder="1" applyAlignment="1">
      <alignment horizontal="center" vertical="center"/>
    </xf>
    <xf numFmtId="10" fontId="33" fillId="8" borderId="96" xfId="12" applyNumberFormat="1" applyFont="1" applyFill="1" applyBorder="1" applyAlignment="1">
      <alignment horizontal="center" vertical="center"/>
    </xf>
    <xf numFmtId="0" fontId="36" fillId="8" borderId="10" xfId="3" applyFont="1" applyFill="1" applyBorder="1" applyAlignment="1">
      <alignment horizontal="left" vertical="center" wrapText="1"/>
    </xf>
    <xf numFmtId="169" fontId="30" fillId="2" borderId="94" xfId="2" applyNumberFormat="1" applyFont="1" applyFill="1" applyBorder="1" applyAlignment="1">
      <alignment horizontal="center" vertical="center"/>
    </xf>
    <xf numFmtId="169" fontId="30" fillId="2" borderId="52" xfId="2" applyNumberFormat="1" applyFont="1" applyFill="1" applyBorder="1" applyAlignment="1">
      <alignment horizontal="center" vertical="center"/>
    </xf>
    <xf numFmtId="169" fontId="30" fillId="2" borderId="51" xfId="2" applyNumberFormat="1" applyFont="1" applyFill="1" applyBorder="1" applyAlignment="1">
      <alignment horizontal="center" vertical="center"/>
    </xf>
    <xf numFmtId="169" fontId="30" fillId="2" borderId="95" xfId="2" applyNumberFormat="1" applyFont="1" applyFill="1" applyBorder="1" applyAlignment="1">
      <alignment horizontal="center" vertical="center"/>
    </xf>
    <xf numFmtId="10" fontId="30" fillId="2" borderId="93" xfId="11" applyNumberFormat="1" applyFont="1" applyFill="1" applyBorder="1" applyAlignment="1">
      <alignment horizontal="center" vertical="center"/>
    </xf>
    <xf numFmtId="10" fontId="30" fillId="2" borderId="97" xfId="12" applyNumberFormat="1" applyFont="1" applyFill="1" applyBorder="1" applyAlignment="1">
      <alignment horizontal="center" vertical="center"/>
    </xf>
    <xf numFmtId="0" fontId="57" fillId="2" borderId="98" xfId="3" applyFont="1" applyFill="1" applyBorder="1" applyAlignment="1">
      <alignment horizontal="center" vertical="center" wrapText="1"/>
    </xf>
    <xf numFmtId="0" fontId="57" fillId="2" borderId="43" xfId="3" applyFont="1" applyFill="1" applyBorder="1" applyAlignment="1">
      <alignment horizontal="center" vertical="center" wrapText="1"/>
    </xf>
    <xf numFmtId="0" fontId="57" fillId="2" borderId="99" xfId="3" applyFont="1" applyFill="1" applyBorder="1" applyAlignment="1">
      <alignment horizontal="center" vertical="center" wrapText="1"/>
    </xf>
    <xf numFmtId="0" fontId="57" fillId="2" borderId="28" xfId="3" applyFont="1" applyFill="1" applyBorder="1" applyAlignment="1">
      <alignment horizontal="center" vertical="center" wrapText="1"/>
    </xf>
    <xf numFmtId="10" fontId="30" fillId="2" borderId="97" xfId="11" applyNumberFormat="1" applyFont="1" applyFill="1" applyBorder="1" applyAlignment="1">
      <alignment horizontal="center" vertical="center"/>
    </xf>
    <xf numFmtId="44" fontId="30" fillId="2" borderId="51" xfId="3" applyNumberFormat="1" applyFont="1" applyFill="1" applyBorder="1" applyAlignment="1">
      <alignment horizontal="center" vertical="center"/>
    </xf>
    <xf numFmtId="0" fontId="57" fillId="2" borderId="99" xfId="3" applyFont="1" applyFill="1" applyBorder="1" applyAlignment="1">
      <alignment horizontal="center" vertical="center"/>
    </xf>
    <xf numFmtId="0" fontId="57" fillId="2" borderId="28" xfId="3" applyFont="1" applyFill="1" applyBorder="1" applyAlignment="1">
      <alignment horizontal="center" vertical="center"/>
    </xf>
    <xf numFmtId="0" fontId="57" fillId="2" borderId="100" xfId="3" applyFont="1" applyFill="1" applyBorder="1" applyAlignment="1">
      <alignment horizontal="center" vertical="center"/>
    </xf>
    <xf numFmtId="0" fontId="57" fillId="2" borderId="33" xfId="3" applyFont="1" applyFill="1" applyBorder="1" applyAlignment="1">
      <alignment horizontal="center" vertical="center"/>
    </xf>
    <xf numFmtId="0" fontId="3" fillId="3" borderId="34" xfId="3" applyFont="1" applyFill="1" applyBorder="1" applyAlignment="1">
      <alignment horizontal="left" vertical="center" wrapText="1"/>
    </xf>
    <xf numFmtId="0" fontId="1" fillId="2" borderId="54" xfId="3" applyFont="1" applyFill="1" applyBorder="1" applyAlignment="1">
      <alignment horizontal="left" vertical="center"/>
    </xf>
    <xf numFmtId="0" fontId="37" fillId="3" borderId="53" xfId="3" applyFont="1" applyFill="1" applyBorder="1" applyAlignment="1">
      <alignment horizontal="left" vertical="center" wrapText="1"/>
    </xf>
    <xf numFmtId="0" fontId="37" fillId="3" borderId="62" xfId="3" applyFont="1" applyFill="1" applyBorder="1" applyAlignment="1">
      <alignment horizontal="left" vertical="center" wrapText="1"/>
    </xf>
    <xf numFmtId="167" fontId="12" fillId="3" borderId="1" xfId="3" applyNumberFormat="1" applyFont="1" applyFill="1" applyBorder="1" applyAlignment="1">
      <alignment horizontal="center" vertical="center" wrapText="1"/>
    </xf>
    <xf numFmtId="167" fontId="13" fillId="3" borderId="25" xfId="3" applyNumberFormat="1" applyFont="1" applyFill="1" applyBorder="1" applyAlignment="1">
      <alignment horizontal="center" vertical="center" wrapText="1"/>
    </xf>
    <xf numFmtId="167" fontId="13" fillId="3" borderId="1" xfId="3" applyNumberFormat="1" applyFont="1" applyFill="1" applyBorder="1" applyAlignment="1">
      <alignment horizontal="center" vertical="center" wrapText="1"/>
    </xf>
    <xf numFmtId="0" fontId="35" fillId="3" borderId="87" xfId="3" applyFont="1" applyFill="1" applyBorder="1" applyAlignment="1">
      <alignment horizontal="center" vertical="center" wrapText="1"/>
    </xf>
    <xf numFmtId="0" fontId="35" fillId="3" borderId="61" xfId="3" applyFont="1" applyFill="1" applyBorder="1" applyAlignment="1">
      <alignment horizontal="center" vertical="center" wrapText="1"/>
    </xf>
    <xf numFmtId="167" fontId="27" fillId="3" borderId="53" xfId="3" applyNumberFormat="1" applyFont="1" applyFill="1" applyBorder="1" applyAlignment="1">
      <alignment horizontal="left" vertical="top" wrapText="1"/>
    </xf>
    <xf numFmtId="167" fontId="27" fillId="3" borderId="62" xfId="3" applyNumberFormat="1" applyFont="1" applyFill="1" applyBorder="1" applyAlignment="1">
      <alignment horizontal="left" vertical="top" wrapText="1"/>
    </xf>
    <xf numFmtId="167" fontId="27" fillId="3" borderId="54" xfId="3" applyNumberFormat="1" applyFont="1" applyFill="1" applyBorder="1" applyAlignment="1">
      <alignment horizontal="left" vertical="top" wrapText="1"/>
    </xf>
    <xf numFmtId="0" fontId="27" fillId="3" borderId="53" xfId="3" applyFont="1" applyFill="1" applyBorder="1" applyAlignment="1">
      <alignment horizontal="left" vertical="top" wrapText="1"/>
    </xf>
    <xf numFmtId="0" fontId="27" fillId="3" borderId="62" xfId="3" applyFont="1" applyFill="1" applyBorder="1" applyAlignment="1">
      <alignment horizontal="left" vertical="top" wrapText="1"/>
    </xf>
    <xf numFmtId="167" fontId="14" fillId="0" borderId="4" xfId="3" applyNumberFormat="1" applyFont="1" applyFill="1" applyBorder="1" applyAlignment="1">
      <alignment horizontal="left" vertical="center"/>
    </xf>
    <xf numFmtId="167" fontId="14" fillId="0" borderId="0" xfId="3" applyNumberFormat="1" applyFont="1" applyFill="1" applyBorder="1" applyAlignment="1">
      <alignment horizontal="left" vertical="center"/>
    </xf>
    <xf numFmtId="167" fontId="14" fillId="0" borderId="25" xfId="3" applyNumberFormat="1" applyFont="1" applyFill="1" applyBorder="1" applyAlignment="1">
      <alignment horizontal="left" vertical="center"/>
    </xf>
    <xf numFmtId="167" fontId="20" fillId="0" borderId="4" xfId="3" applyNumberFormat="1" applyFont="1" applyFill="1" applyBorder="1" applyAlignment="1">
      <alignment horizontal="center" vertical="center" wrapText="1"/>
    </xf>
    <xf numFmtId="167" fontId="20" fillId="0" borderId="0" xfId="3" applyNumberFormat="1" applyFont="1" applyFill="1" applyBorder="1" applyAlignment="1">
      <alignment horizontal="center" vertical="center" wrapText="1"/>
    </xf>
    <xf numFmtId="39" fontId="16" fillId="3" borderId="92" xfId="3" applyNumberFormat="1" applyFont="1" applyFill="1" applyBorder="1" applyAlignment="1">
      <alignment horizontal="center" vertical="center" wrapText="1"/>
    </xf>
    <xf numFmtId="39" fontId="16" fillId="3" borderId="96" xfId="3" applyNumberFormat="1" applyFont="1" applyFill="1" applyBorder="1" applyAlignment="1">
      <alignment horizontal="center" vertical="center" wrapText="1"/>
    </xf>
    <xf numFmtId="172" fontId="33" fillId="8" borderId="92" xfId="10" applyNumberFormat="1" applyFont="1" applyFill="1" applyBorder="1" applyAlignment="1">
      <alignment horizontal="center" vertical="center"/>
    </xf>
    <xf numFmtId="172" fontId="33" fillId="8" borderId="96" xfId="10" applyNumberFormat="1" applyFont="1" applyFill="1" applyBorder="1" applyAlignment="1">
      <alignment horizontal="center" vertical="center"/>
    </xf>
    <xf numFmtId="39" fontId="16" fillId="3" borderId="93" xfId="3" applyNumberFormat="1" applyFont="1" applyFill="1" applyBorder="1" applyAlignment="1">
      <alignment horizontal="center" vertical="center" wrapText="1"/>
    </xf>
    <xf numFmtId="17" fontId="19" fillId="0" borderId="87" xfId="3" applyNumberFormat="1" applyFont="1" applyFill="1" applyBorder="1" applyAlignment="1">
      <alignment horizontal="center" vertical="center" wrapText="1"/>
    </xf>
    <xf numFmtId="17" fontId="19" fillId="0" borderId="61" xfId="3" applyNumberFormat="1" applyFont="1" applyFill="1" applyBorder="1" applyAlignment="1">
      <alignment horizontal="center" vertical="center" wrapText="1"/>
    </xf>
    <xf numFmtId="17" fontId="19" fillId="0" borderId="27" xfId="3" applyNumberFormat="1" applyFont="1" applyFill="1" applyBorder="1" applyAlignment="1">
      <alignment horizontal="center" vertical="center" wrapText="1"/>
    </xf>
    <xf numFmtId="0" fontId="15" fillId="11" borderId="56" xfId="3" applyFont="1" applyFill="1" applyBorder="1" applyAlignment="1">
      <alignment horizontal="justify" vertical="center" wrapText="1"/>
    </xf>
    <xf numFmtId="0" fontId="15" fillId="11" borderId="29" xfId="3" applyFont="1" applyFill="1" applyBorder="1" applyAlignment="1">
      <alignment horizontal="justify" vertical="center" wrapText="1"/>
    </xf>
    <xf numFmtId="0" fontId="15" fillId="11" borderId="57" xfId="3" applyFont="1" applyFill="1" applyBorder="1" applyAlignment="1">
      <alignment horizontal="justify" vertical="center" wrapText="1"/>
    </xf>
    <xf numFmtId="39" fontId="16" fillId="3" borderId="97" xfId="3" applyNumberFormat="1" applyFont="1" applyFill="1" applyBorder="1" applyAlignment="1">
      <alignment horizontal="center" vertical="center" wrapText="1"/>
    </xf>
    <xf numFmtId="0" fontId="58" fillId="3" borderId="12" xfId="3" applyFont="1" applyFill="1" applyBorder="1" applyAlignment="1">
      <alignment horizontal="center" vertical="center" wrapText="1"/>
    </xf>
    <xf numFmtId="0" fontId="58" fillId="3" borderId="31" xfId="3" applyFont="1" applyFill="1" applyBorder="1" applyAlignment="1">
      <alignment horizontal="center" vertical="center" wrapText="1"/>
    </xf>
    <xf numFmtId="0" fontId="37" fillId="3" borderId="12" xfId="3" applyFont="1" applyFill="1" applyBorder="1" applyAlignment="1">
      <alignment horizontal="left" vertical="center" wrapText="1"/>
    </xf>
    <xf numFmtId="0" fontId="37" fillId="3" borderId="31" xfId="3" applyFont="1" applyFill="1" applyBorder="1" applyAlignment="1">
      <alignment horizontal="left" vertical="center" wrapText="1"/>
    </xf>
    <xf numFmtId="0" fontId="37" fillId="3" borderId="14" xfId="3" applyFont="1" applyFill="1" applyBorder="1" applyAlignment="1">
      <alignment horizontal="left" vertical="center" wrapText="1"/>
    </xf>
    <xf numFmtId="0" fontId="58" fillId="3" borderId="4" xfId="3" applyFont="1" applyFill="1" applyBorder="1" applyAlignment="1">
      <alignment horizontal="center" vertical="center" wrapText="1"/>
    </xf>
    <xf numFmtId="0" fontId="58" fillId="3" borderId="0" xfId="3" applyFont="1" applyFill="1" applyBorder="1" applyAlignment="1">
      <alignment horizontal="center" vertical="center" wrapText="1"/>
    </xf>
    <xf numFmtId="167" fontId="19" fillId="0" borderId="4" xfId="3" applyNumberFormat="1" applyFont="1" applyFill="1" applyBorder="1" applyAlignment="1">
      <alignment horizontal="justify" vertical="top" wrapText="1"/>
    </xf>
    <xf numFmtId="167" fontId="19" fillId="0" borderId="0" xfId="3" applyNumberFormat="1" applyFont="1" applyFill="1" applyBorder="1" applyAlignment="1">
      <alignment horizontal="justify" vertical="top" wrapText="1"/>
    </xf>
    <xf numFmtId="167" fontId="19" fillId="0" borderId="5" xfId="3" applyNumberFormat="1" applyFont="1" applyFill="1" applyBorder="1" applyAlignment="1">
      <alignment horizontal="justify" vertical="top" wrapText="1"/>
    </xf>
    <xf numFmtId="167" fontId="19" fillId="0" borderId="87" xfId="3" applyNumberFormat="1" applyFont="1" applyFill="1" applyBorder="1" applyAlignment="1">
      <alignment horizontal="justify" vertical="top" wrapText="1"/>
    </xf>
    <xf numFmtId="167" fontId="19" fillId="0" borderId="61" xfId="3" applyNumberFormat="1" applyFont="1" applyFill="1" applyBorder="1" applyAlignment="1">
      <alignment horizontal="justify" vertical="top" wrapText="1"/>
    </xf>
    <xf numFmtId="167" fontId="19" fillId="0" borderId="88" xfId="3" applyNumberFormat="1" applyFont="1" applyFill="1" applyBorder="1" applyAlignment="1">
      <alignment horizontal="justify" vertical="top" wrapText="1"/>
    </xf>
    <xf numFmtId="0" fontId="58" fillId="3" borderId="87" xfId="3" applyFont="1" applyFill="1" applyBorder="1" applyAlignment="1">
      <alignment horizontal="center" vertical="center" wrapText="1"/>
    </xf>
    <xf numFmtId="0" fontId="58" fillId="3" borderId="61" xfId="3" applyFont="1" applyFill="1" applyBorder="1" applyAlignment="1">
      <alignment horizontal="center" vertical="center" wrapText="1"/>
    </xf>
    <xf numFmtId="0" fontId="58" fillId="3" borderId="27" xfId="3" applyFont="1" applyFill="1" applyBorder="1" applyAlignment="1">
      <alignment horizontal="center" vertical="center" wrapText="1"/>
    </xf>
    <xf numFmtId="0" fontId="19" fillId="0" borderId="87" xfId="3" applyNumberFormat="1" applyFont="1" applyFill="1" applyBorder="1" applyAlignment="1">
      <alignment horizontal="center" vertical="center" wrapText="1"/>
    </xf>
    <xf numFmtId="0" fontId="19" fillId="0" borderId="61" xfId="3" applyNumberFormat="1" applyFont="1" applyFill="1" applyBorder="1" applyAlignment="1">
      <alignment horizontal="center" vertical="center" wrapText="1"/>
    </xf>
    <xf numFmtId="0" fontId="19" fillId="0" borderId="88" xfId="3" applyNumberFormat="1" applyFont="1" applyFill="1" applyBorder="1" applyAlignment="1">
      <alignment horizontal="center" vertical="center" wrapText="1"/>
    </xf>
    <xf numFmtId="0" fontId="27" fillId="3" borderId="54" xfId="3" applyFont="1" applyFill="1" applyBorder="1" applyAlignment="1">
      <alignment horizontal="left" vertical="top" wrapText="1"/>
    </xf>
    <xf numFmtId="0" fontId="27" fillId="3" borderId="89" xfId="3" applyFont="1" applyFill="1" applyBorder="1" applyAlignment="1">
      <alignment horizontal="left" vertical="top" wrapText="1"/>
    </xf>
    <xf numFmtId="172" fontId="33" fillId="8" borderId="92" xfId="12" applyNumberFormat="1" applyFont="1" applyFill="1" applyBorder="1" applyAlignment="1">
      <alignment horizontal="center" vertical="center"/>
    </xf>
    <xf numFmtId="172" fontId="33" fillId="8" borderId="97" xfId="12" applyNumberFormat="1" applyFont="1" applyFill="1" applyBorder="1" applyAlignment="1">
      <alignment horizontal="center" vertical="center"/>
    </xf>
    <xf numFmtId="172" fontId="33" fillId="8" borderId="96" xfId="12" applyNumberFormat="1" applyFont="1" applyFill="1" applyBorder="1" applyAlignment="1">
      <alignment horizontal="center" vertical="center"/>
    </xf>
    <xf numFmtId="172" fontId="33" fillId="8" borderId="93" xfId="10" applyNumberFormat="1" applyFont="1" applyFill="1" applyBorder="1" applyAlignment="1">
      <alignment horizontal="center" vertical="center"/>
    </xf>
    <xf numFmtId="0" fontId="2" fillId="2" borderId="87" xfId="7" applyNumberFormat="1" applyFont="1" applyFill="1" applyBorder="1" applyAlignment="1">
      <alignment horizontal="left" vertical="top" wrapText="1"/>
    </xf>
    <xf numFmtId="0" fontId="2" fillId="2" borderId="61" xfId="7" applyNumberFormat="1" applyFont="1" applyFill="1" applyBorder="1" applyAlignment="1">
      <alignment horizontal="left" vertical="top" wrapText="1"/>
    </xf>
    <xf numFmtId="0" fontId="2" fillId="2" borderId="88" xfId="7" applyNumberFormat="1" applyFont="1" applyFill="1" applyBorder="1" applyAlignment="1">
      <alignment horizontal="left" vertical="top" wrapText="1"/>
    </xf>
    <xf numFmtId="0" fontId="5" fillId="2" borderId="55" xfId="6" applyFont="1" applyFill="1" applyBorder="1" applyAlignment="1">
      <alignment horizontal="left" vertical="center"/>
    </xf>
    <xf numFmtId="0" fontId="5" fillId="2" borderId="53" xfId="6" applyFont="1" applyFill="1" applyBorder="1" applyAlignment="1">
      <alignment horizontal="left" vertical="center"/>
    </xf>
    <xf numFmtId="0" fontId="5" fillId="2" borderId="54" xfId="6" applyFont="1" applyFill="1" applyBorder="1" applyAlignment="1">
      <alignment horizontal="left" vertical="center"/>
    </xf>
    <xf numFmtId="0" fontId="2" fillId="2" borderId="15" xfId="7" applyNumberFormat="1" applyFont="1" applyFill="1" applyBorder="1" applyAlignment="1">
      <alignment horizontal="center" vertical="center" wrapText="1"/>
    </xf>
    <xf numFmtId="17" fontId="2" fillId="2" borderId="20" xfId="7" applyNumberFormat="1" applyFont="1" applyFill="1" applyBorder="1" applyAlignment="1">
      <alignment horizontal="center" vertical="center" wrapText="1"/>
    </xf>
    <xf numFmtId="17" fontId="2" fillId="2" borderId="23" xfId="7" applyNumberFormat="1" applyFont="1" applyFill="1" applyBorder="1" applyAlignment="1">
      <alignment horizontal="center" vertical="center" wrapText="1"/>
    </xf>
    <xf numFmtId="0" fontId="10" fillId="3" borderId="3" xfId="8" applyFont="1" applyFill="1" applyBorder="1" applyAlignment="1">
      <alignment horizontal="center" vertical="center"/>
    </xf>
    <xf numFmtId="0" fontId="10" fillId="3" borderId="74" xfId="8" applyFont="1" applyFill="1" applyBorder="1" applyAlignment="1">
      <alignment horizontal="center" vertical="center"/>
    </xf>
    <xf numFmtId="0" fontId="4" fillId="3" borderId="101" xfId="8" applyFont="1" applyFill="1" applyBorder="1" applyAlignment="1">
      <alignment horizontal="center" vertical="center"/>
    </xf>
    <xf numFmtId="0" fontId="4" fillId="3" borderId="75" xfId="8" applyFont="1" applyFill="1" applyBorder="1" applyAlignment="1">
      <alignment horizontal="center" vertical="center"/>
    </xf>
    <xf numFmtId="0" fontId="5" fillId="2" borderId="55" xfId="9" applyFont="1" applyFill="1" applyBorder="1" applyAlignment="1">
      <alignment horizontal="left" vertical="center"/>
    </xf>
    <xf numFmtId="0" fontId="5" fillId="2" borderId="35" xfId="9" applyFont="1" applyFill="1" applyBorder="1" applyAlignment="1">
      <alignment horizontal="left" vertical="center"/>
    </xf>
    <xf numFmtId="0" fontId="4" fillId="0" borderId="101" xfId="7" applyNumberFormat="1" applyFont="1" applyFill="1" applyBorder="1" applyAlignment="1">
      <alignment horizontal="center" vertical="center" wrapText="1"/>
    </xf>
    <xf numFmtId="0" fontId="4" fillId="0" borderId="75" xfId="7" applyNumberFormat="1" applyFont="1" applyFill="1" applyBorder="1" applyAlignment="1">
      <alignment horizontal="center" vertical="center" wrapText="1"/>
    </xf>
    <xf numFmtId="0" fontId="2" fillId="2" borderId="3" xfId="7" applyNumberFormat="1" applyFont="1" applyFill="1" applyBorder="1" applyAlignment="1">
      <alignment horizontal="left" vertical="top" wrapText="1"/>
    </xf>
    <xf numFmtId="0" fontId="2" fillId="2" borderId="74" xfId="7" applyNumberFormat="1" applyFont="1" applyFill="1" applyBorder="1" applyAlignment="1">
      <alignment horizontal="left" vertical="top" wrapText="1"/>
    </xf>
    <xf numFmtId="0" fontId="2" fillId="2" borderId="101" xfId="7" applyNumberFormat="1" applyFont="1" applyFill="1" applyBorder="1" applyAlignment="1">
      <alignment horizontal="left" vertical="top" wrapText="1"/>
    </xf>
    <xf numFmtId="0" fontId="2" fillId="2" borderId="75" xfId="7" applyNumberFormat="1" applyFont="1" applyFill="1" applyBorder="1" applyAlignment="1">
      <alignment horizontal="left" vertical="top" wrapText="1"/>
    </xf>
    <xf numFmtId="0" fontId="40" fillId="0" borderId="26" xfId="3" applyFont="1" applyBorder="1" applyAlignment="1">
      <alignment vertical="center"/>
    </xf>
    <xf numFmtId="0" fontId="42" fillId="10" borderId="102" xfId="0" applyFont="1" applyFill="1" applyBorder="1" applyAlignment="1">
      <alignment horizontal="right" vertical="top"/>
    </xf>
    <xf numFmtId="0" fontId="42" fillId="10" borderId="103" xfId="0" applyFont="1" applyFill="1" applyBorder="1" applyAlignment="1">
      <alignment horizontal="right" vertical="top"/>
    </xf>
    <xf numFmtId="0" fontId="41" fillId="0" borderId="104" xfId="0" applyFont="1" applyBorder="1" applyAlignment="1">
      <alignment horizontal="left" vertical="top" wrapText="1"/>
    </xf>
    <xf numFmtId="0" fontId="41" fillId="0" borderId="105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0" fillId="12" borderId="106" xfId="0" applyFill="1" applyBorder="1" applyAlignment="1">
      <alignment horizontal="center"/>
    </xf>
    <xf numFmtId="0" fontId="0" fillId="12" borderId="0" xfId="0" applyFill="1" applyBorder="1" applyAlignment="1">
      <alignment horizontal="center"/>
    </xf>
    <xf numFmtId="0" fontId="0" fillId="12" borderId="5" xfId="0" applyFill="1" applyBorder="1" applyAlignment="1">
      <alignment horizontal="center"/>
    </xf>
    <xf numFmtId="44" fontId="0" fillId="0" borderId="0" xfId="0" applyNumberFormat="1" applyBorder="1" applyAlignment="1">
      <alignment horizontal="left" vertical="top" wrapText="1"/>
    </xf>
    <xf numFmtId="44" fontId="0" fillId="0" borderId="5" xfId="0" applyNumberFormat="1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19" xfId="0" applyBorder="1" applyAlignment="1">
      <alignment horizontal="left"/>
    </xf>
    <xf numFmtId="0" fontId="0" fillId="0" borderId="68" xfId="0" applyBorder="1" applyAlignment="1">
      <alignment horizontal="left"/>
    </xf>
    <xf numFmtId="0" fontId="0" fillId="0" borderId="70" xfId="0" applyBorder="1" applyAlignment="1">
      <alignment horizontal="left"/>
    </xf>
    <xf numFmtId="0" fontId="25" fillId="0" borderId="107" xfId="0" applyFont="1" applyBorder="1" applyAlignment="1">
      <alignment horizontal="center"/>
    </xf>
    <xf numFmtId="0" fontId="25" fillId="0" borderId="108" xfId="0" applyFont="1" applyBorder="1" applyAlignment="1">
      <alignment horizontal="center"/>
    </xf>
    <xf numFmtId="0" fontId="59" fillId="8" borderId="106" xfId="0" applyFont="1" applyFill="1" applyBorder="1" applyAlignment="1">
      <alignment horizontal="justify" vertical="justify" wrapText="1"/>
    </xf>
    <xf numFmtId="0" fontId="59" fillId="8" borderId="0" xfId="0" applyFont="1" applyFill="1" applyBorder="1" applyAlignment="1">
      <alignment horizontal="justify" vertical="justify" wrapText="1"/>
    </xf>
    <xf numFmtId="0" fontId="59" fillId="8" borderId="5" xfId="0" applyFont="1" applyFill="1" applyBorder="1" applyAlignment="1">
      <alignment horizontal="justify" vertical="justify" wrapText="1"/>
    </xf>
    <xf numFmtId="0" fontId="59" fillId="8" borderId="109" xfId="0" applyFont="1" applyFill="1" applyBorder="1" applyAlignment="1">
      <alignment horizontal="justify" vertical="justify" wrapText="1"/>
    </xf>
    <xf numFmtId="0" fontId="59" fillId="8" borderId="21" xfId="0" applyFont="1" applyFill="1" applyBorder="1" applyAlignment="1">
      <alignment horizontal="justify" vertical="justify" wrapText="1"/>
    </xf>
    <xf numFmtId="0" fontId="59" fillId="8" borderId="16" xfId="0" applyFont="1" applyFill="1" applyBorder="1" applyAlignment="1">
      <alignment horizontal="justify" vertical="justify" wrapText="1"/>
    </xf>
    <xf numFmtId="0" fontId="0" fillId="0" borderId="19" xfId="0" applyBorder="1" applyAlignment="1">
      <alignment horizontal="left" wrapText="1"/>
    </xf>
    <xf numFmtId="0" fontId="0" fillId="0" borderId="68" xfId="0" applyBorder="1" applyAlignment="1">
      <alignment horizontal="left" wrapText="1"/>
    </xf>
    <xf numFmtId="0" fontId="0" fillId="0" borderId="70" xfId="0" applyBorder="1" applyAlignment="1">
      <alignment horizontal="left" wrapText="1"/>
    </xf>
    <xf numFmtId="0" fontId="0" fillId="0" borderId="106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25" fillId="0" borderId="24" xfId="0" applyFont="1" applyBorder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32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0" fillId="0" borderId="0" xfId="0" applyAlignment="1" applyProtection="1">
      <alignment horizontal="left"/>
      <protection hidden="1"/>
    </xf>
    <xf numFmtId="0" fontId="23" fillId="0" borderId="22" xfId="3" applyBorder="1" applyAlignment="1"/>
    <xf numFmtId="0" fontId="23" fillId="0" borderId="1" xfId="3" applyBorder="1" applyAlignment="1"/>
    <xf numFmtId="0" fontId="23" fillId="0" borderId="25" xfId="3" applyBorder="1" applyAlignment="1"/>
    <xf numFmtId="0" fontId="23" fillId="0" borderId="32" xfId="3" applyBorder="1" applyAlignment="1"/>
    <xf numFmtId="0" fontId="23" fillId="0" borderId="23" xfId="3" applyBorder="1" applyAlignment="1"/>
    <xf numFmtId="0" fontId="0" fillId="0" borderId="22" xfId="0" applyBorder="1" applyAlignment="1"/>
    <xf numFmtId="0" fontId="0" fillId="0" borderId="1" xfId="0" applyBorder="1" applyAlignment="1"/>
    <xf numFmtId="0" fontId="0" fillId="0" borderId="25" xfId="0" applyBorder="1" applyAlignment="1"/>
    <xf numFmtId="0" fontId="46" fillId="0" borderId="0" xfId="0" applyFont="1" applyBorder="1" applyAlignment="1"/>
    <xf numFmtId="0" fontId="46" fillId="0" borderId="5" xfId="0" applyFont="1" applyBorder="1" applyAlignment="1"/>
    <xf numFmtId="0" fontId="46" fillId="0" borderId="61" xfId="0" applyFont="1" applyBorder="1" applyAlignment="1"/>
    <xf numFmtId="0" fontId="46" fillId="0" borderId="88" xfId="0" applyFont="1" applyBorder="1" applyAlignment="1"/>
    <xf numFmtId="0" fontId="0" fillId="0" borderId="62" xfId="0" applyBorder="1" applyAlignment="1"/>
    <xf numFmtId="0" fontId="0" fillId="0" borderId="89" xfId="0" applyBorder="1" applyAlignment="1"/>
    <xf numFmtId="0" fontId="0" fillId="0" borderId="32" xfId="0" applyBorder="1" applyAlignment="1"/>
    <xf numFmtId="0" fontId="0" fillId="0" borderId="23" xfId="0" applyBorder="1" applyAlignment="1"/>
    <xf numFmtId="0" fontId="46" fillId="0" borderId="21" xfId="0" applyFont="1" applyBorder="1" applyAlignment="1"/>
    <xf numFmtId="0" fontId="46" fillId="0" borderId="16" xfId="0" applyFont="1" applyBorder="1" applyAlignment="1"/>
    <xf numFmtId="0" fontId="46" fillId="0" borderId="4" xfId="0" applyFont="1" applyBorder="1" applyAlignment="1"/>
    <xf numFmtId="0" fontId="23" fillId="0" borderId="26" xfId="3" applyBorder="1" applyAlignment="1"/>
  </cellXfs>
  <cellStyles count="17">
    <cellStyle name="Moeda" xfId="1" builtinId="4"/>
    <cellStyle name="Moeda 3" xfId="2" xr:uid="{00000000-0005-0000-0000-000001000000}"/>
    <cellStyle name="Normal" xfId="0" builtinId="0"/>
    <cellStyle name="Normal 3" xfId="3" xr:uid="{00000000-0005-0000-0000-000003000000}"/>
    <cellStyle name="Normal 3 2" xfId="4" xr:uid="{00000000-0005-0000-0000-000004000000}"/>
    <cellStyle name="Normal 9" xfId="5" xr:uid="{00000000-0005-0000-0000-000005000000}"/>
    <cellStyle name="Normal_capa" xfId="6" xr:uid="{00000000-0005-0000-0000-000006000000}"/>
    <cellStyle name="Normal_CPU_06_400_91_00750_00_SEE_parte02 2" xfId="7" xr:uid="{00000000-0005-0000-0000-000007000000}"/>
    <cellStyle name="Normal_Infra Primária - Planilha" xfId="8" xr:uid="{00000000-0005-0000-0000-000008000000}"/>
    <cellStyle name="Normal_LO2001 01_026 001 00" xfId="9" xr:uid="{00000000-0005-0000-0000-000009000000}"/>
    <cellStyle name="Porcentagem" xfId="10" builtinId="5"/>
    <cellStyle name="Porcentagem 2 2" xfId="11" xr:uid="{00000000-0005-0000-0000-00000B000000}"/>
    <cellStyle name="Porcentagem 4" xfId="12" xr:uid="{00000000-0005-0000-0000-00000C000000}"/>
    <cellStyle name="Porcentagem 5" xfId="13" xr:uid="{00000000-0005-0000-0000-00000D000000}"/>
    <cellStyle name="Separador de milhares 2 3" xfId="14" xr:uid="{00000000-0005-0000-0000-00000E000000}"/>
    <cellStyle name="Separador de milhares 4" xfId="15" xr:uid="{00000000-0005-0000-0000-00000F000000}"/>
    <cellStyle name="Separador de milhares 6" xfId="16" xr:uid="{00000000-0005-0000-0000-000010000000}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466725</xdr:colOff>
      <xdr:row>0</xdr:row>
      <xdr:rowOff>38100</xdr:rowOff>
    </xdr:from>
    <xdr:to>
      <xdr:col>4</xdr:col>
      <xdr:colOff>476250</xdr:colOff>
      <xdr:row>0</xdr:row>
      <xdr:rowOff>714375</xdr:rowOff>
    </xdr:to>
    <xdr:pic>
      <xdr:nvPicPr>
        <xdr:cNvPr id="19497" name="Imagem 1" descr="brasaonacional">
          <a:extLst>
            <a:ext uri="{FF2B5EF4-FFF2-40B4-BE49-F238E27FC236}">
              <a16:creationId xmlns:a16="http://schemas.microsoft.com/office/drawing/2014/main" id="{119F372C-D406-D97A-3E9F-C9F51E3B81A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38100"/>
          <a:ext cx="7143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0</xdr:col>
      <xdr:colOff>914400</xdr:colOff>
      <xdr:row>4</xdr:row>
      <xdr:rowOff>133350</xdr:rowOff>
    </xdr:to>
    <xdr:pic>
      <xdr:nvPicPr>
        <xdr:cNvPr id="14460" name="Imagem 2">
          <a:extLst>
            <a:ext uri="{FF2B5EF4-FFF2-40B4-BE49-F238E27FC236}">
              <a16:creationId xmlns:a16="http://schemas.microsoft.com/office/drawing/2014/main" id="{564C9735-BC44-4C1E-C49D-06907080F8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8763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240</xdr:row>
      <xdr:rowOff>9525</xdr:rowOff>
    </xdr:from>
    <xdr:to>
      <xdr:col>8</xdr:col>
      <xdr:colOff>381000</xdr:colOff>
      <xdr:row>269</xdr:row>
      <xdr:rowOff>47625</xdr:rowOff>
    </xdr:to>
    <xdr:pic>
      <xdr:nvPicPr>
        <xdr:cNvPr id="14461" name="Imagem 1">
          <a:extLst>
            <a:ext uri="{FF2B5EF4-FFF2-40B4-BE49-F238E27FC236}">
              <a16:creationId xmlns:a16="http://schemas.microsoft.com/office/drawing/2014/main" id="{C46C3515-CD75-667C-74B8-D6D4D2ADBC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39890700"/>
          <a:ext cx="8410575" cy="473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66675</xdr:colOff>
      <xdr:row>190</xdr:row>
      <xdr:rowOff>142875</xdr:rowOff>
    </xdr:from>
    <xdr:to>
      <xdr:col>12</xdr:col>
      <xdr:colOff>142875</xdr:colOff>
      <xdr:row>193</xdr:row>
      <xdr:rowOff>133350</xdr:rowOff>
    </xdr:to>
    <xdr:pic>
      <xdr:nvPicPr>
        <xdr:cNvPr id="14462" name="Imagem 3">
          <a:extLst>
            <a:ext uri="{FF2B5EF4-FFF2-40B4-BE49-F238E27FC236}">
              <a16:creationId xmlns:a16="http://schemas.microsoft.com/office/drawing/2014/main" id="{B50CD4E2-B07E-CF5D-50AD-0AC5550A2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06100" y="31356300"/>
          <a:ext cx="12954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209550</xdr:rowOff>
    </xdr:from>
    <xdr:to>
      <xdr:col>1</xdr:col>
      <xdr:colOff>0</xdr:colOff>
      <xdr:row>3</xdr:row>
      <xdr:rowOff>142875</xdr:rowOff>
    </xdr:to>
    <xdr:pic>
      <xdr:nvPicPr>
        <xdr:cNvPr id="15402" name="Imagem 2" descr="Logotipo Porto do Itaqui 2.jpg">
          <a:extLst>
            <a:ext uri="{FF2B5EF4-FFF2-40B4-BE49-F238E27FC236}">
              <a16:creationId xmlns:a16="http://schemas.microsoft.com/office/drawing/2014/main" id="{436BF03C-5D4F-9CC0-8CC1-5E1900B1A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09550"/>
          <a:ext cx="12573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1476375</xdr:colOff>
      <xdr:row>0</xdr:row>
      <xdr:rowOff>85725</xdr:rowOff>
    </xdr:from>
    <xdr:to>
      <xdr:col>1</xdr:col>
      <xdr:colOff>2209800</xdr:colOff>
      <xdr:row>1</xdr:row>
      <xdr:rowOff>0</xdr:rowOff>
    </xdr:to>
    <xdr:pic>
      <xdr:nvPicPr>
        <xdr:cNvPr id="17450" name="Imagem 1" descr="brasaonacional">
          <a:extLst>
            <a:ext uri="{FF2B5EF4-FFF2-40B4-BE49-F238E27FC236}">
              <a16:creationId xmlns:a16="http://schemas.microsoft.com/office/drawing/2014/main" id="{77AC265E-B9E8-9EC8-B18B-959A7377802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925" y="85725"/>
          <a:ext cx="7334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733425</xdr:colOff>
      <xdr:row>0</xdr:row>
      <xdr:rowOff>57150</xdr:rowOff>
    </xdr:from>
    <xdr:to>
      <xdr:col>2</xdr:col>
      <xdr:colOff>314325</xdr:colOff>
      <xdr:row>0</xdr:row>
      <xdr:rowOff>609600</xdr:rowOff>
    </xdr:to>
    <xdr:pic>
      <xdr:nvPicPr>
        <xdr:cNvPr id="1066" name="Imagem 1" descr="brasaonacional">
          <a:extLst>
            <a:ext uri="{FF2B5EF4-FFF2-40B4-BE49-F238E27FC236}">
              <a16:creationId xmlns:a16="http://schemas.microsoft.com/office/drawing/2014/main" id="{66F38D04-0E57-5D8E-8975-CD7E12EE169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57150"/>
          <a:ext cx="5238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0</xdr:row>
      <xdr:rowOff>57150</xdr:rowOff>
    </xdr:from>
    <xdr:to>
      <xdr:col>3</xdr:col>
      <xdr:colOff>161925</xdr:colOff>
      <xdr:row>0</xdr:row>
      <xdr:rowOff>771525</xdr:rowOff>
    </xdr:to>
    <xdr:pic>
      <xdr:nvPicPr>
        <xdr:cNvPr id="8234" name="Imagem 1" descr="brasaonacional">
          <a:extLst>
            <a:ext uri="{FF2B5EF4-FFF2-40B4-BE49-F238E27FC236}">
              <a16:creationId xmlns:a16="http://schemas.microsoft.com/office/drawing/2014/main" id="{9CCF36A9-EC66-01AA-60A6-B306369A859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5" y="57150"/>
          <a:ext cx="7143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0</xdr:row>
      <xdr:rowOff>57150</xdr:rowOff>
    </xdr:from>
    <xdr:to>
      <xdr:col>3</xdr:col>
      <xdr:colOff>161925</xdr:colOff>
      <xdr:row>0</xdr:row>
      <xdr:rowOff>771525</xdr:rowOff>
    </xdr:to>
    <xdr:pic>
      <xdr:nvPicPr>
        <xdr:cNvPr id="20521" name="Imagem 1" descr="brasaonacional">
          <a:extLst>
            <a:ext uri="{FF2B5EF4-FFF2-40B4-BE49-F238E27FC236}">
              <a16:creationId xmlns:a16="http://schemas.microsoft.com/office/drawing/2014/main" id="{F8973606-EF57-DFEB-31CE-D3278EDA29A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5" y="57150"/>
          <a:ext cx="7143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1276350</xdr:colOff>
      <xdr:row>0</xdr:row>
      <xdr:rowOff>47625</xdr:rowOff>
    </xdr:from>
    <xdr:to>
      <xdr:col>3</xdr:col>
      <xdr:colOff>381000</xdr:colOff>
      <xdr:row>0</xdr:row>
      <xdr:rowOff>666750</xdr:rowOff>
    </xdr:to>
    <xdr:pic>
      <xdr:nvPicPr>
        <xdr:cNvPr id="5162" name="Imagem 1" descr="brasaonacional">
          <a:extLst>
            <a:ext uri="{FF2B5EF4-FFF2-40B4-BE49-F238E27FC236}">
              <a16:creationId xmlns:a16="http://schemas.microsoft.com/office/drawing/2014/main" id="{03EBBC70-B202-1C2D-62DD-1539DFF4D76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0" y="47625"/>
          <a:ext cx="6000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19050</xdr:rowOff>
    </xdr:from>
    <xdr:to>
      <xdr:col>1</xdr:col>
      <xdr:colOff>657225</xdr:colOff>
      <xdr:row>4</xdr:row>
      <xdr:rowOff>180975</xdr:rowOff>
    </xdr:to>
    <xdr:pic>
      <xdr:nvPicPr>
        <xdr:cNvPr id="9299" name="Imagem 11">
          <a:extLst>
            <a:ext uri="{FF2B5EF4-FFF2-40B4-BE49-F238E27FC236}">
              <a16:creationId xmlns:a16="http://schemas.microsoft.com/office/drawing/2014/main" id="{94B1D4FC-E80F-854C-CFFC-C43DDECAA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9050"/>
          <a:ext cx="8763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180975</xdr:colOff>
      <xdr:row>16</xdr:row>
      <xdr:rowOff>142875</xdr:rowOff>
    </xdr:from>
    <xdr:to>
      <xdr:col>15</xdr:col>
      <xdr:colOff>247650</xdr:colOff>
      <xdr:row>20</xdr:row>
      <xdr:rowOff>9525</xdr:rowOff>
    </xdr:to>
    <xdr:pic>
      <xdr:nvPicPr>
        <xdr:cNvPr id="9300" name="Imagem 3">
          <a:extLst>
            <a:ext uri="{FF2B5EF4-FFF2-40B4-BE49-F238E27FC236}">
              <a16:creationId xmlns:a16="http://schemas.microsoft.com/office/drawing/2014/main" id="{EA912AE7-07FF-73FA-2F00-3979C27B7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77700" y="3648075"/>
          <a:ext cx="12858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66675</xdr:rowOff>
    </xdr:from>
    <xdr:to>
      <xdr:col>1</xdr:col>
      <xdr:colOff>752475</xdr:colOff>
      <xdr:row>4</xdr:row>
      <xdr:rowOff>85725</xdr:rowOff>
    </xdr:to>
    <xdr:pic>
      <xdr:nvPicPr>
        <xdr:cNvPr id="10282" name="Imagem 2" descr="Logotipo Porto do Itaqui 2.jpg">
          <a:extLst>
            <a:ext uri="{FF2B5EF4-FFF2-40B4-BE49-F238E27FC236}">
              <a16:creationId xmlns:a16="http://schemas.microsoft.com/office/drawing/2014/main" id="{6B00550F-00A9-C06E-0E75-CD383DA22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14325"/>
          <a:ext cx="14097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371475</xdr:rowOff>
    </xdr:from>
    <xdr:to>
      <xdr:col>1</xdr:col>
      <xdr:colOff>876300</xdr:colOff>
      <xdr:row>3</xdr:row>
      <xdr:rowOff>190500</xdr:rowOff>
    </xdr:to>
    <xdr:pic>
      <xdr:nvPicPr>
        <xdr:cNvPr id="11306" name="Imagem 2" descr="Logotipo Porto do Itaqui 2.jpg">
          <a:extLst>
            <a:ext uri="{FF2B5EF4-FFF2-40B4-BE49-F238E27FC236}">
              <a16:creationId xmlns:a16="http://schemas.microsoft.com/office/drawing/2014/main" id="{70C2EC22-E887-194D-9D77-0795C4F95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00025"/>
          <a:ext cx="14668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0</xdr:row>
      <xdr:rowOff>104775</xdr:rowOff>
    </xdr:from>
    <xdr:to>
      <xdr:col>1</xdr:col>
      <xdr:colOff>2286000</xdr:colOff>
      <xdr:row>2</xdr:row>
      <xdr:rowOff>295275</xdr:rowOff>
    </xdr:to>
    <xdr:pic>
      <xdr:nvPicPr>
        <xdr:cNvPr id="12330" name="Imagem 2" descr="Logotipo Porto do Itaqui 2.jpg">
          <a:extLst>
            <a:ext uri="{FF2B5EF4-FFF2-40B4-BE49-F238E27FC236}">
              <a16:creationId xmlns:a16="http://schemas.microsoft.com/office/drawing/2014/main" id="{49254F04-FA01-3FA8-4ED6-4DDD787ED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04775"/>
          <a:ext cx="28384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104775</xdr:rowOff>
    </xdr:from>
    <xdr:to>
      <xdr:col>1</xdr:col>
      <xdr:colOff>1914525</xdr:colOff>
      <xdr:row>2</xdr:row>
      <xdr:rowOff>295275</xdr:rowOff>
    </xdr:to>
    <xdr:pic>
      <xdr:nvPicPr>
        <xdr:cNvPr id="13354" name="Imagem 2" descr="Logotipo Porto do Itaqui 2.jpg">
          <a:extLst>
            <a:ext uri="{FF2B5EF4-FFF2-40B4-BE49-F238E27FC236}">
              <a16:creationId xmlns:a16="http://schemas.microsoft.com/office/drawing/2014/main" id="{22C1B4CB-7F6C-59F2-95A9-CB8B8AD4A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04775"/>
          <a:ext cx="27336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tabColor rgb="FF00B050"/>
    <pageSetUpPr fitToPage="1"/>
  </sheetPr>
  <dimension ref="A1:M26"/>
  <sheetViews>
    <sheetView tabSelected="1" view="pageBreakPreview" zoomScale="115" zoomScaleNormal="115" zoomScaleSheetLayoutView="115" workbookViewId="0">
      <selection activeCell="K7" sqref="K7"/>
    </sheetView>
  </sheetViews>
  <sheetFormatPr defaultRowHeight="21.75" customHeight="1"/>
  <cols>
    <col min="1" max="1" width="8.5703125" customWidth="1"/>
    <col min="2" max="2" width="43.85546875" customWidth="1"/>
    <col min="3" max="3" width="11.28515625" customWidth="1"/>
    <col min="4" max="4" width="10.5703125" customWidth="1"/>
    <col min="5" max="5" width="9" customWidth="1"/>
    <col min="6" max="6" width="9.42578125" customWidth="1"/>
    <col min="7" max="7" width="18.42578125" customWidth="1"/>
    <col min="8" max="8" width="10.7109375" customWidth="1"/>
    <col min="9" max="9" width="11" customWidth="1"/>
    <col min="10" max="10" width="10.140625" customWidth="1"/>
    <col min="11" max="11" width="17.140625" customWidth="1"/>
    <col min="12" max="12" width="14.5703125" style="392" customWidth="1"/>
    <col min="13" max="13" width="12.85546875" style="392" customWidth="1"/>
    <col min="23" max="23" width="12.85546875" customWidth="1"/>
  </cols>
  <sheetData>
    <row r="1" spans="1:11" ht="58.15" customHeight="1">
      <c r="A1" s="299"/>
      <c r="B1" s="300"/>
      <c r="C1" s="300"/>
      <c r="D1" s="300"/>
      <c r="E1" s="300"/>
      <c r="F1" s="300"/>
      <c r="G1" s="300"/>
      <c r="H1" s="300"/>
      <c r="I1" s="300"/>
      <c r="J1" s="242"/>
    </row>
    <row r="2" spans="1:11" ht="15.75">
      <c r="A2" s="441" t="s">
        <v>0</v>
      </c>
      <c r="B2" s="442"/>
      <c r="C2" s="442"/>
      <c r="D2" s="442"/>
      <c r="E2" s="442"/>
      <c r="F2" s="442"/>
      <c r="G2" s="442"/>
      <c r="H2" s="442"/>
      <c r="I2" s="442"/>
      <c r="J2" s="443"/>
    </row>
    <row r="3" spans="1:11" ht="15.75">
      <c r="A3" s="441" t="s">
        <v>1</v>
      </c>
      <c r="B3" s="442"/>
      <c r="C3" s="442"/>
      <c r="D3" s="442"/>
      <c r="E3" s="442"/>
      <c r="F3" s="442"/>
      <c r="G3" s="442"/>
      <c r="H3" s="442"/>
      <c r="I3" s="442"/>
      <c r="J3" s="443"/>
    </row>
    <row r="4" spans="1:11" ht="16.5" thickBot="1">
      <c r="A4" s="444" t="s">
        <v>2</v>
      </c>
      <c r="B4" s="445"/>
      <c r="C4" s="445"/>
      <c r="D4" s="445"/>
      <c r="E4" s="445"/>
      <c r="F4" s="445"/>
      <c r="G4" s="445"/>
      <c r="H4" s="445"/>
      <c r="I4" s="445"/>
      <c r="J4" s="446"/>
    </row>
    <row r="5" spans="1:11" ht="16.5" thickBot="1">
      <c r="A5" s="444" t="s">
        <v>3</v>
      </c>
      <c r="B5" s="445"/>
      <c r="C5" s="445"/>
      <c r="D5" s="445"/>
      <c r="E5" s="445"/>
      <c r="F5" s="445"/>
      <c r="G5" s="445"/>
      <c r="H5" s="445"/>
      <c r="I5" s="445"/>
      <c r="J5" s="446"/>
    </row>
    <row r="6" spans="1:11" ht="12.6" customHeight="1" thickBot="1">
      <c r="A6" s="447" t="s">
        <v>4</v>
      </c>
      <c r="B6" s="447" t="s">
        <v>5</v>
      </c>
      <c r="C6" s="449" t="s">
        <v>6</v>
      </c>
      <c r="D6" s="449"/>
      <c r="E6" s="449"/>
      <c r="F6" s="450" t="s">
        <v>7</v>
      </c>
      <c r="G6" s="450" t="s">
        <v>8</v>
      </c>
      <c r="H6" s="452" t="s">
        <v>9</v>
      </c>
      <c r="I6" s="437" t="s">
        <v>10</v>
      </c>
      <c r="J6" s="437"/>
    </row>
    <row r="7" spans="1:11" ht="13.15" customHeight="1" thickBot="1">
      <c r="A7" s="448"/>
      <c r="B7" s="448"/>
      <c r="C7" s="407" t="s">
        <v>11</v>
      </c>
      <c r="D7" s="407" t="s">
        <v>12</v>
      </c>
      <c r="E7" s="391" t="s">
        <v>13</v>
      </c>
      <c r="F7" s="451"/>
      <c r="G7" s="451"/>
      <c r="H7" s="453"/>
      <c r="I7" s="438"/>
      <c r="J7" s="438"/>
    </row>
    <row r="8" spans="1:11" ht="15">
      <c r="A8" s="226" t="s">
        <v>14</v>
      </c>
      <c r="B8" s="409" t="s">
        <v>15</v>
      </c>
      <c r="C8" s="409"/>
      <c r="D8" s="227"/>
      <c r="E8" s="228"/>
      <c r="F8" s="238"/>
      <c r="G8" s="238">
        <f>SUM(G9:G11)</f>
        <v>0</v>
      </c>
      <c r="H8" s="244" t="e">
        <f>SUM(H9:H11)</f>
        <v>#DIV/0!</v>
      </c>
      <c r="I8" s="439"/>
      <c r="J8" s="440"/>
    </row>
    <row r="9" spans="1:11" ht="15" customHeight="1">
      <c r="A9" s="301" t="s">
        <v>16</v>
      </c>
      <c r="B9" s="406" t="str">
        <f>'COMP CUSTOS_SLS'!B8</f>
        <v>VIGIA DIURNO 12X36</v>
      </c>
      <c r="C9" s="302">
        <v>2</v>
      </c>
      <c r="D9" s="302">
        <v>12</v>
      </c>
      <c r="E9" s="303">
        <f>C9*D9</f>
        <v>24</v>
      </c>
      <c r="F9" s="303"/>
      <c r="G9" s="304">
        <f>TRUNC(E9*F9,2)</f>
        <v>0</v>
      </c>
      <c r="H9" s="305" t="e">
        <f>G9/$G$22</f>
        <v>#DIV/0!</v>
      </c>
      <c r="I9" s="434"/>
      <c r="J9" s="435"/>
      <c r="K9" s="290"/>
    </row>
    <row r="10" spans="1:11" ht="15" customHeight="1">
      <c r="A10" s="301" t="s">
        <v>17</v>
      </c>
      <c r="B10" s="406" t="str">
        <f>'COMP CUSTOS_SLS'!B20</f>
        <v>VIGIA NOTURNO 12X36</v>
      </c>
      <c r="C10" s="302">
        <v>6</v>
      </c>
      <c r="D10" s="302">
        <v>12</v>
      </c>
      <c r="E10" s="303">
        <f>C10*D10</f>
        <v>72</v>
      </c>
      <c r="F10" s="303"/>
      <c r="G10" s="304">
        <f>TRUNC(E10*F10,2)</f>
        <v>0</v>
      </c>
      <c r="H10" s="305" t="e">
        <f>G10/$G$22</f>
        <v>#DIV/0!</v>
      </c>
      <c r="I10" s="434"/>
      <c r="J10" s="435"/>
    </row>
    <row r="11" spans="1:11" ht="15" customHeight="1">
      <c r="A11" s="301" t="s">
        <v>18</v>
      </c>
      <c r="B11" s="406" t="str">
        <f>'COMP CUSTOS_SLS'!B52</f>
        <v>PORTEIRO</v>
      </c>
      <c r="C11" s="302">
        <v>1</v>
      </c>
      <c r="D11" s="302">
        <v>12</v>
      </c>
      <c r="E11" s="303">
        <f>C11*D11</f>
        <v>12</v>
      </c>
      <c r="F11" s="303"/>
      <c r="G11" s="304">
        <f>TRUNC(E11*F11,2)</f>
        <v>0</v>
      </c>
      <c r="H11" s="305" t="e">
        <f>G11/$G$22</f>
        <v>#DIV/0!</v>
      </c>
      <c r="I11" s="434"/>
      <c r="J11" s="435"/>
    </row>
    <row r="12" spans="1:11" ht="14.25" customHeight="1">
      <c r="A12" s="306"/>
      <c r="B12" s="307"/>
      <c r="C12" s="307"/>
      <c r="D12" s="308"/>
      <c r="E12" s="309"/>
      <c r="F12" s="309"/>
      <c r="G12" s="310"/>
      <c r="H12" s="311"/>
      <c r="I12" s="307"/>
      <c r="J12" s="312"/>
    </row>
    <row r="13" spans="1:11" ht="15">
      <c r="A13" s="313" t="s">
        <v>19</v>
      </c>
      <c r="B13" s="429" t="s">
        <v>20</v>
      </c>
      <c r="C13" s="429"/>
      <c r="D13" s="314"/>
      <c r="E13" s="315"/>
      <c r="F13" s="316"/>
      <c r="G13" s="316">
        <f>SUM(G14:G15)</f>
        <v>0</v>
      </c>
      <c r="H13" s="317" t="e">
        <f>SUM(H14:H15)</f>
        <v>#DIV/0!</v>
      </c>
      <c r="I13" s="430"/>
      <c r="J13" s="431"/>
    </row>
    <row r="14" spans="1:11" ht="14.25" customHeight="1">
      <c r="A14" s="301" t="s">
        <v>21</v>
      </c>
      <c r="B14" s="432" t="s">
        <v>22</v>
      </c>
      <c r="C14" s="433"/>
      <c r="D14" s="302" t="s">
        <v>9</v>
      </c>
      <c r="E14" s="338"/>
      <c r="F14" s="303"/>
      <c r="G14" s="304">
        <f>E14*F14</f>
        <v>0</v>
      </c>
      <c r="H14" s="305" t="e">
        <f>G14/$G$22</f>
        <v>#DIV/0!</v>
      </c>
      <c r="I14" s="434"/>
      <c r="J14" s="435"/>
    </row>
    <row r="15" spans="1:11" ht="14.25" customHeight="1">
      <c r="A15" s="140"/>
      <c r="B15" s="147"/>
      <c r="C15" s="147"/>
      <c r="D15" s="9"/>
      <c r="E15" s="10"/>
      <c r="F15" s="10"/>
      <c r="G15" s="148"/>
      <c r="H15" s="297"/>
      <c r="I15" s="147"/>
      <c r="J15" s="15"/>
    </row>
    <row r="16" spans="1:11" ht="14.25" customHeight="1">
      <c r="A16" s="313" t="s">
        <v>23</v>
      </c>
      <c r="B16" s="429" t="s">
        <v>24</v>
      </c>
      <c r="C16" s="429"/>
      <c r="D16" s="314"/>
      <c r="E16" s="315"/>
      <c r="F16" s="316"/>
      <c r="G16" s="316">
        <f>SUM(G17:G18)</f>
        <v>0</v>
      </c>
      <c r="H16" s="317" t="e">
        <f>SUM(H17:H18)</f>
        <v>#DIV/0!</v>
      </c>
      <c r="I16" s="430"/>
      <c r="J16" s="431"/>
    </row>
    <row r="17" spans="1:11" ht="14.25" customHeight="1">
      <c r="A17" s="301" t="s">
        <v>25</v>
      </c>
      <c r="B17" s="432" t="s">
        <v>26</v>
      </c>
      <c r="C17" s="433"/>
      <c r="D17" s="302" t="s">
        <v>9</v>
      </c>
      <c r="E17" s="338"/>
      <c r="F17" s="303"/>
      <c r="G17" s="304">
        <f>E17*F17</f>
        <v>0</v>
      </c>
      <c r="H17" s="305" t="e">
        <f>G17/$G$22</f>
        <v>#DIV/0!</v>
      </c>
      <c r="I17" s="434"/>
      <c r="J17" s="435"/>
    </row>
    <row r="18" spans="1:11" ht="14.25" customHeight="1">
      <c r="A18" s="140"/>
      <c r="B18" s="147"/>
      <c r="C18" s="147"/>
      <c r="D18" s="9"/>
      <c r="E18" s="10"/>
      <c r="F18" s="10"/>
      <c r="G18" s="148"/>
      <c r="H18" s="297"/>
      <c r="I18" s="147"/>
      <c r="J18" s="15"/>
    </row>
    <row r="19" spans="1:11" ht="14.25" customHeight="1">
      <c r="A19" s="313" t="s">
        <v>27</v>
      </c>
      <c r="B19" s="429" t="s">
        <v>28</v>
      </c>
      <c r="C19" s="429"/>
      <c r="D19" s="314"/>
      <c r="E19" s="315"/>
      <c r="F19" s="316"/>
      <c r="G19" s="316">
        <f>SUM(G20:G21)</f>
        <v>0</v>
      </c>
      <c r="H19" s="317" t="e">
        <f>SUM(H20:H20)</f>
        <v>#DIV/0!</v>
      </c>
      <c r="I19" s="430"/>
      <c r="J19" s="431"/>
    </row>
    <row r="20" spans="1:11" ht="14.25" customHeight="1">
      <c r="A20" s="301" t="s">
        <v>29</v>
      </c>
      <c r="B20" s="432" t="s">
        <v>30</v>
      </c>
      <c r="C20" s="433"/>
      <c r="D20" s="302" t="s">
        <v>9</v>
      </c>
      <c r="E20" s="338"/>
      <c r="F20" s="303"/>
      <c r="G20" s="304">
        <f>E20*F20</f>
        <v>0</v>
      </c>
      <c r="H20" s="305" t="e">
        <f>G20/$G$22</f>
        <v>#DIV/0!</v>
      </c>
      <c r="I20" s="434"/>
      <c r="J20" s="435"/>
    </row>
    <row r="21" spans="1:11" ht="14.25" customHeight="1" thickBot="1">
      <c r="A21" s="140"/>
      <c r="B21" s="147"/>
      <c r="C21" s="147"/>
      <c r="D21" s="9"/>
      <c r="E21" s="10"/>
      <c r="F21" s="10"/>
      <c r="G21" s="148"/>
      <c r="H21" s="295"/>
      <c r="I21" s="296"/>
      <c r="J21" s="15"/>
    </row>
    <row r="22" spans="1:11" ht="23.45" customHeight="1" thickBot="1">
      <c r="A22" s="418" t="s">
        <v>31</v>
      </c>
      <c r="B22" s="419"/>
      <c r="C22" s="419"/>
      <c r="D22" s="419"/>
      <c r="E22" s="419"/>
      <c r="F22" s="420"/>
      <c r="G22" s="20">
        <f>G8+G13+G16+G19</f>
        <v>0</v>
      </c>
      <c r="H22" s="436" t="e">
        <f>SUM(H8,H13,H16,H19)</f>
        <v>#DIV/0!</v>
      </c>
      <c r="I22" s="422"/>
      <c r="J22" s="423"/>
    </row>
    <row r="23" spans="1:11" ht="23.45" customHeight="1" thickBot="1">
      <c r="A23" s="418" t="s">
        <v>32</v>
      </c>
      <c r="B23" s="419"/>
      <c r="C23" s="419"/>
      <c r="D23" s="419"/>
      <c r="E23" s="419"/>
      <c r="F23" s="420"/>
      <c r="G23" s="20">
        <f>G22/12</f>
        <v>0</v>
      </c>
      <c r="H23" s="421">
        <v>8.3333333333333329E-2</v>
      </c>
      <c r="I23" s="422"/>
      <c r="J23" s="423"/>
    </row>
    <row r="24" spans="1:11" ht="11.45" customHeight="1">
      <c r="A24" s="140" t="s">
        <v>33</v>
      </c>
      <c r="B24" s="9"/>
      <c r="C24" s="147"/>
      <c r="D24" s="9"/>
      <c r="E24" s="10"/>
      <c r="F24" s="10"/>
      <c r="G24" s="148"/>
      <c r="H24" s="149"/>
      <c r="I24" s="14"/>
      <c r="J24" s="15"/>
      <c r="K24" s="291"/>
    </row>
    <row r="25" spans="1:11" ht="34.15" customHeight="1">
      <c r="A25" s="260">
        <v>1</v>
      </c>
      <c r="B25" s="424" t="s">
        <v>34</v>
      </c>
      <c r="C25" s="424"/>
      <c r="D25" s="424"/>
      <c r="E25" s="424"/>
      <c r="F25" s="424"/>
      <c r="G25" s="424"/>
      <c r="H25" s="424"/>
      <c r="I25" s="424"/>
      <c r="J25" s="425"/>
    </row>
    <row r="26" spans="1:11" ht="9.6" customHeight="1" thickBot="1">
      <c r="A26" s="426"/>
      <c r="B26" s="427"/>
      <c r="C26" s="427"/>
      <c r="D26" s="427"/>
      <c r="E26" s="427"/>
      <c r="F26" s="427"/>
      <c r="G26" s="427"/>
      <c r="H26" s="427"/>
      <c r="I26" s="427"/>
      <c r="J26" s="428"/>
    </row>
  </sheetData>
  <mergeCells count="33">
    <mergeCell ref="B13:C13"/>
    <mergeCell ref="I13:J13"/>
    <mergeCell ref="A2:J2"/>
    <mergeCell ref="A3:J3"/>
    <mergeCell ref="A4:J4"/>
    <mergeCell ref="A5:J5"/>
    <mergeCell ref="A6:A7"/>
    <mergeCell ref="B6:B7"/>
    <mergeCell ref="C6:E6"/>
    <mergeCell ref="F6:F7"/>
    <mergeCell ref="G6:G7"/>
    <mergeCell ref="H6:H7"/>
    <mergeCell ref="I6:J7"/>
    <mergeCell ref="I8:J8"/>
    <mergeCell ref="I9:J9"/>
    <mergeCell ref="I10:J10"/>
    <mergeCell ref="I11:J11"/>
    <mergeCell ref="B14:C14"/>
    <mergeCell ref="I14:J14"/>
    <mergeCell ref="B16:C16"/>
    <mergeCell ref="I16:J16"/>
    <mergeCell ref="B17:C17"/>
    <mergeCell ref="I17:J17"/>
    <mergeCell ref="A23:F23"/>
    <mergeCell ref="H23:J23"/>
    <mergeCell ref="B25:J25"/>
    <mergeCell ref="A26:J26"/>
    <mergeCell ref="B19:C19"/>
    <mergeCell ref="I19:J19"/>
    <mergeCell ref="B20:C20"/>
    <mergeCell ref="I20:J20"/>
    <mergeCell ref="A22:F22"/>
    <mergeCell ref="H22:J22"/>
  </mergeCells>
  <conditionalFormatting sqref="E9:E11">
    <cfRule type="cellIs" dxfId="3" priority="1" operator="equal">
      <formula>0</formula>
    </cfRule>
  </conditionalFormatting>
  <pageMargins left="0.59055118110236227" right="0.59055118110236227" top="1.1811023622047245" bottom="0.74803149606299213" header="0.31496062992125984" footer="0.31496062992125984"/>
  <pageSetup paperSize="9" scale="93" fitToHeight="0" orientation="landscape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10">
    <tabColor rgb="FF0070C0"/>
    <pageSetUpPr fitToPage="1"/>
  </sheetPr>
  <dimension ref="A1:U222"/>
  <sheetViews>
    <sheetView view="pageBreakPreview" topLeftCell="A183" zoomScale="85" zoomScaleNormal="100" zoomScaleSheetLayoutView="85" zoomScalePageLayoutView="120" workbookViewId="0">
      <selection activeCell="G128" sqref="G128"/>
    </sheetView>
  </sheetViews>
  <sheetFormatPr defaultRowHeight="12.75"/>
  <cols>
    <col min="1" max="1" width="14.5703125" style="118" customWidth="1"/>
    <col min="2" max="2" width="35.7109375" style="118" customWidth="1"/>
    <col min="3" max="3" width="8.42578125" style="118" customWidth="1"/>
    <col min="4" max="4" width="9.7109375" style="118" customWidth="1"/>
    <col min="5" max="5" width="12.85546875" style="124" customWidth="1"/>
    <col min="6" max="6" width="12.5703125" style="125" customWidth="1"/>
    <col min="7" max="7" width="15" style="125" customWidth="1"/>
    <col min="8" max="9" width="14.140625" style="118" customWidth="1"/>
    <col min="10" max="10" width="22.42578125" style="118" customWidth="1"/>
    <col min="11" max="14" width="9.140625" style="118"/>
    <col min="15" max="15" width="11.42578125" style="118" bestFit="1" customWidth="1"/>
    <col min="16" max="16" width="11.7109375" style="118" bestFit="1" customWidth="1"/>
    <col min="17" max="16384" width="9.140625" style="118"/>
  </cols>
  <sheetData>
    <row r="1" spans="1:10" customFormat="1" ht="22.5" customHeight="1">
      <c r="A1" s="107"/>
      <c r="B1" s="510" t="s">
        <v>76</v>
      </c>
      <c r="C1" s="511"/>
      <c r="D1" s="511"/>
      <c r="E1" s="511"/>
      <c r="F1" s="511"/>
      <c r="G1" s="512"/>
    </row>
    <row r="2" spans="1:10" customFormat="1" ht="18.75">
      <c r="A2" s="108"/>
      <c r="B2" s="704" t="s">
        <v>77</v>
      </c>
      <c r="C2" s="704"/>
      <c r="D2" s="704"/>
      <c r="E2" s="704"/>
      <c r="F2" s="704"/>
      <c r="G2" s="705"/>
    </row>
    <row r="3" spans="1:10" customFormat="1" ht="15.75">
      <c r="A3" s="108"/>
      <c r="B3" s="706" t="s">
        <v>78</v>
      </c>
      <c r="C3" s="706"/>
      <c r="D3" s="706"/>
      <c r="E3" s="706"/>
      <c r="F3" s="706"/>
      <c r="G3" s="707"/>
    </row>
    <row r="4" spans="1:10" customFormat="1" ht="12" customHeight="1">
      <c r="A4" s="108"/>
      <c r="B4" s="708" t="s">
        <v>79</v>
      </c>
      <c r="C4" s="708"/>
      <c r="D4" s="708"/>
      <c r="E4" s="708"/>
      <c r="F4" s="708"/>
      <c r="G4" s="709"/>
    </row>
    <row r="5" spans="1:10" customFormat="1" ht="12.75" customHeight="1">
      <c r="A5" s="109"/>
      <c r="B5" s="710" t="s">
        <v>80</v>
      </c>
      <c r="C5" s="710"/>
      <c r="D5" s="710"/>
      <c r="E5" s="710"/>
      <c r="F5" s="710"/>
      <c r="G5" s="711"/>
    </row>
    <row r="6" spans="1:10" customFormat="1" ht="15">
      <c r="A6" s="110"/>
      <c r="B6" s="708" t="s">
        <v>82</v>
      </c>
      <c r="C6" s="708"/>
      <c r="D6" s="708"/>
      <c r="E6" s="708"/>
      <c r="F6" s="708"/>
      <c r="G6" s="709"/>
    </row>
    <row r="7" spans="1:10" customFormat="1" ht="34.5" customHeight="1">
      <c r="A7" s="111"/>
      <c r="B7" s="695" t="str">
        <f>ORÇAMENTO!C7</f>
        <v xml:space="preserve">Contratação de Empresa Especializada para prestação de Serviços de Limpeza, Conservação e Jardinagem, com fornecimento de Materiais e Equipamentos para atender as demandas da Empresa Maranhense de Administração Portuária – EMAP. </v>
      </c>
      <c r="C7" s="696"/>
      <c r="D7" s="696"/>
      <c r="E7" s="696"/>
      <c r="F7" s="696"/>
      <c r="G7" s="697"/>
    </row>
    <row r="8" spans="1:10" customFormat="1" ht="12" customHeight="1">
      <c r="A8" s="110"/>
      <c r="B8" s="698" t="s">
        <v>85</v>
      </c>
      <c r="C8" s="698"/>
      <c r="D8" s="698"/>
      <c r="E8" s="699" t="s">
        <v>86</v>
      </c>
      <c r="F8" s="700"/>
      <c r="G8" s="112" t="s">
        <v>87</v>
      </c>
    </row>
    <row r="9" spans="1:10" customFormat="1" ht="15.75" customHeight="1" thickBot="1">
      <c r="A9" s="413"/>
      <c r="B9" s="701">
        <f>ORÇAMENTO!D9</f>
        <v>0</v>
      </c>
      <c r="C9" s="701"/>
      <c r="D9" s="701"/>
      <c r="E9" s="702">
        <f>ORÇAMENTO!G9</f>
        <v>42138</v>
      </c>
      <c r="F9" s="703"/>
      <c r="G9" s="113">
        <f>ORÇAMENTO!I9</f>
        <v>0</v>
      </c>
    </row>
    <row r="10" spans="1:10" ht="13.5" thickBot="1">
      <c r="A10" s="114"/>
      <c r="B10" s="115"/>
      <c r="C10" s="115"/>
      <c r="D10" s="115"/>
      <c r="E10" s="115"/>
      <c r="F10" s="116"/>
      <c r="G10" s="117"/>
    </row>
    <row r="11" spans="1:10" ht="25.5" customHeight="1" thickBot="1">
      <c r="A11" s="217" t="s">
        <v>36</v>
      </c>
      <c r="B11" s="218" t="s">
        <v>37</v>
      </c>
      <c r="C11" s="219" t="s">
        <v>38</v>
      </c>
      <c r="D11" s="219" t="s">
        <v>39</v>
      </c>
      <c r="E11" s="220" t="s">
        <v>40</v>
      </c>
      <c r="F11" s="221" t="s">
        <v>41</v>
      </c>
      <c r="G11" s="222" t="s">
        <v>42</v>
      </c>
    </row>
    <row r="12" spans="1:10" ht="14.25" customHeight="1">
      <c r="A12" s="162" t="str">
        <f>ORÇAMENTO!I12</f>
        <v>ACORDO COLETIVO 2015</v>
      </c>
      <c r="B12" s="158" t="str">
        <f>B13</f>
        <v>ENCARREGADO DE SERVIÇOS GERAIS</v>
      </c>
      <c r="C12" s="159" t="s">
        <v>45</v>
      </c>
      <c r="D12" s="159" t="s">
        <v>56</v>
      </c>
      <c r="E12" s="160"/>
      <c r="F12" s="161"/>
      <c r="G12" s="163"/>
    </row>
    <row r="13" spans="1:10" ht="14.25" customHeight="1">
      <c r="A13" s="331" t="str">
        <f>A12</f>
        <v>ACORDO COLETIVO 2015</v>
      </c>
      <c r="B13" s="320" t="str">
        <f>ORÇAMENTO!B12</f>
        <v>ENCARREGADO DE SERVIÇOS GERAIS</v>
      </c>
      <c r="C13" s="321" t="s">
        <v>47</v>
      </c>
      <c r="D13" s="321" t="s">
        <v>57</v>
      </c>
      <c r="E13" s="322">
        <v>190</v>
      </c>
      <c r="F13" s="323">
        <f>1076.4/190</f>
        <v>5.6652631578947377</v>
      </c>
      <c r="G13" s="324">
        <f>ROUND(E13*F13,2)</f>
        <v>1076.4000000000001</v>
      </c>
      <c r="H13" s="234">
        <f>1076.4</f>
        <v>1076.4000000000001</v>
      </c>
      <c r="I13" s="118">
        <v>190</v>
      </c>
      <c r="J13" s="235">
        <f>H13/I13</f>
        <v>5.6652631578947377</v>
      </c>
    </row>
    <row r="14" spans="1:10" ht="14.25" customHeight="1">
      <c r="A14" s="454" t="s">
        <v>48</v>
      </c>
      <c r="B14" s="455"/>
      <c r="C14" s="455"/>
      <c r="D14" s="455"/>
      <c r="E14" s="455"/>
      <c r="F14" s="455"/>
      <c r="G14" s="351">
        <f>G13</f>
        <v>1076.4000000000001</v>
      </c>
    </row>
    <row r="15" spans="1:10" ht="14.25" customHeight="1">
      <c r="A15" s="454" t="s">
        <v>58</v>
      </c>
      <c r="B15" s="455"/>
      <c r="C15" s="455"/>
      <c r="D15" s="455"/>
      <c r="E15" s="455"/>
      <c r="F15" s="455"/>
      <c r="G15" s="318">
        <f>0</f>
        <v>0</v>
      </c>
    </row>
    <row r="16" spans="1:10" ht="14.25" customHeight="1">
      <c r="A16" s="454" t="s">
        <v>49</v>
      </c>
      <c r="B16" s="455"/>
      <c r="C16" s="455"/>
      <c r="D16" s="455"/>
      <c r="E16" s="455"/>
      <c r="F16" s="455"/>
      <c r="G16" s="325">
        <f>SUM(G14:G15)</f>
        <v>1076.4000000000001</v>
      </c>
    </row>
    <row r="17" spans="1:7" ht="14.25" customHeight="1">
      <c r="A17" s="459" t="s">
        <v>59</v>
      </c>
      <c r="B17" s="460"/>
      <c r="C17" s="460"/>
      <c r="D17" s="460"/>
      <c r="E17" s="467"/>
      <c r="F17" s="327">
        <v>0.3</v>
      </c>
      <c r="G17" s="351">
        <f>G14*F17</f>
        <v>322.92</v>
      </c>
    </row>
    <row r="18" spans="1:7" ht="14.25" customHeight="1">
      <c r="A18" s="459" t="s">
        <v>51</v>
      </c>
      <c r="B18" s="460"/>
      <c r="C18" s="460"/>
      <c r="D18" s="460"/>
      <c r="E18" s="460"/>
      <c r="F18" s="326">
        <v>0.74480000000000002</v>
      </c>
      <c r="G18" s="351">
        <f>F18*G14</f>
        <v>801.70272000000011</v>
      </c>
    </row>
    <row r="19" spans="1:7" ht="14.25" customHeight="1">
      <c r="A19" s="400"/>
      <c r="B19" s="401"/>
      <c r="C19" s="401"/>
      <c r="D19" s="401"/>
      <c r="E19" s="402" t="str">
        <f>'Adicionais e Encargos compl'!$A$13</f>
        <v>AUXILIO ALIMENTAÇÃO</v>
      </c>
      <c r="F19" s="327">
        <f>'Adicionais e Encargos compl'!$B$17</f>
        <v>0.18738574040219377</v>
      </c>
      <c r="G19" s="351">
        <f>G14*F19</f>
        <v>201.7020109689214</v>
      </c>
    </row>
    <row r="20" spans="1:7" ht="14.25" customHeight="1">
      <c r="A20" s="400"/>
      <c r="B20" s="401"/>
      <c r="C20" s="401"/>
      <c r="D20" s="401"/>
      <c r="E20" s="402" t="str">
        <f>'Adicionais e Encargos compl'!$A$19</f>
        <v>VALE TRANSPORTE</v>
      </c>
      <c r="F20" s="327">
        <f>'Adicionais e Encargos compl'!$B$24</f>
        <v>0.1246800731261426</v>
      </c>
      <c r="G20" s="351">
        <f>G14*F20</f>
        <v>134.20563071297991</v>
      </c>
    </row>
    <row r="21" spans="1:7" ht="14.25" customHeight="1">
      <c r="A21" s="400"/>
      <c r="B21" s="401"/>
      <c r="C21" s="401"/>
      <c r="D21" s="401"/>
      <c r="E21" s="402" t="e">
        <f>'Adicionais e Encargos compl'!#REF!</f>
        <v>#REF!</v>
      </c>
      <c r="F21" s="327" t="e">
        <f>'Adicionais e Encargos compl'!#REF!</f>
        <v>#REF!</v>
      </c>
      <c r="G21" s="351" t="e">
        <f>G14*F21</f>
        <v>#REF!</v>
      </c>
    </row>
    <row r="22" spans="1:7" ht="14.25" customHeight="1">
      <c r="A22" s="400"/>
      <c r="B22" s="401"/>
      <c r="C22" s="401"/>
      <c r="D22" s="401"/>
      <c r="E22" s="402" t="e">
        <f>'Adicionais e Encargos compl'!#REF!</f>
        <v>#REF!</v>
      </c>
      <c r="F22" s="327" t="e">
        <f>'Adicionais e Encargos compl'!#REF!</f>
        <v>#REF!</v>
      </c>
      <c r="G22" s="351" t="e">
        <f>G14*F22</f>
        <v>#REF!</v>
      </c>
    </row>
    <row r="23" spans="1:7" ht="14.25" customHeight="1">
      <c r="A23" s="328"/>
      <c r="B23" s="329"/>
      <c r="C23" s="329"/>
      <c r="D23" s="349"/>
      <c r="E23" s="350" t="e">
        <f>'Adicionais e Encargos compl'!#REF!</f>
        <v>#REF!</v>
      </c>
      <c r="F23" s="330" t="e">
        <f>'Adicionais e Encargos compl'!#REF!</f>
        <v>#REF!</v>
      </c>
      <c r="G23" s="318" t="e">
        <f>G14*F23</f>
        <v>#REF!</v>
      </c>
    </row>
    <row r="24" spans="1:7" ht="14.25" customHeight="1">
      <c r="A24" s="328"/>
      <c r="B24" s="329"/>
      <c r="C24" s="329"/>
      <c r="D24" s="349"/>
      <c r="E24" s="350" t="e">
        <f>'Adicionais e Encargos compl'!#REF!</f>
        <v>#REF!</v>
      </c>
      <c r="F24" s="330" t="e">
        <f>'Adicionais e Encargos compl'!#REF!</f>
        <v>#REF!</v>
      </c>
      <c r="G24" s="318" t="e">
        <f>G14*F24</f>
        <v>#REF!</v>
      </c>
    </row>
    <row r="25" spans="1:7" ht="14.25" customHeight="1">
      <c r="A25" s="328"/>
      <c r="B25" s="329"/>
      <c r="C25" s="329"/>
      <c r="D25" s="349"/>
      <c r="E25" s="350" t="str">
        <f>'Adicionais e Encargos compl'!$A$26</f>
        <v>EPI/UNIFORME</v>
      </c>
      <c r="F25" s="330">
        <f>'Adicionais e Encargos compl'!$B$29</f>
        <v>2.9296160877513713E-2</v>
      </c>
      <c r="G25" s="318">
        <f>G14*F25</f>
        <v>31.534387568555761</v>
      </c>
    </row>
    <row r="26" spans="1:7" ht="14.25" customHeight="1">
      <c r="A26" s="454" t="s">
        <v>52</v>
      </c>
      <c r="B26" s="455"/>
      <c r="C26" s="455"/>
      <c r="D26" s="455"/>
      <c r="E26" s="455"/>
      <c r="F26" s="455"/>
      <c r="G26" s="351" t="e">
        <f>SUM(G17:G25)</f>
        <v>#REF!</v>
      </c>
    </row>
    <row r="27" spans="1:7" ht="14.25" customHeight="1">
      <c r="A27" s="454" t="s">
        <v>60</v>
      </c>
      <c r="B27" s="455"/>
      <c r="C27" s="455"/>
      <c r="D27" s="455"/>
      <c r="E27" s="455"/>
      <c r="F27" s="455"/>
      <c r="G27" s="325" t="e">
        <f>TRUNC(G16+G26,2)</f>
        <v>#REF!</v>
      </c>
    </row>
    <row r="28" spans="1:7" ht="14.25" customHeight="1">
      <c r="A28" s="454" t="s">
        <v>61</v>
      </c>
      <c r="B28" s="455"/>
      <c r="C28" s="455"/>
      <c r="D28" s="455"/>
      <c r="E28" s="455"/>
      <c r="F28" s="455"/>
      <c r="G28" s="351" t="e">
        <f>ORÇAMENTO!E12</f>
        <v>#REF!</v>
      </c>
    </row>
    <row r="29" spans="1:7" ht="14.25" customHeight="1">
      <c r="A29" s="454" t="s">
        <v>62</v>
      </c>
      <c r="B29" s="455"/>
      <c r="C29" s="455"/>
      <c r="D29" s="455"/>
      <c r="E29" s="455"/>
      <c r="F29" s="455"/>
      <c r="G29" s="325" t="e">
        <f>TRUNC(G27*G28,2)</f>
        <v>#REF!</v>
      </c>
    </row>
    <row r="30" spans="1:7" s="225" customFormat="1" ht="14.25" customHeight="1">
      <c r="A30" s="398"/>
      <c r="B30" s="399"/>
      <c r="C30" s="399"/>
      <c r="D30" s="399"/>
      <c r="E30" s="399"/>
      <c r="F30" s="399"/>
      <c r="G30" s="325"/>
    </row>
    <row r="31" spans="1:7" ht="13.5" customHeight="1">
      <c r="A31" s="461"/>
      <c r="B31" s="462"/>
      <c r="C31" s="462"/>
      <c r="D31" s="462"/>
      <c r="E31" s="462"/>
      <c r="F31" s="462"/>
      <c r="G31" s="463"/>
    </row>
    <row r="32" spans="1:7" ht="13.5" customHeight="1">
      <c r="A32" s="162" t="str">
        <f>ORÇAMENTO!I13</f>
        <v>ACORDO COLETIVO 2015</v>
      </c>
      <c r="B32" s="158" t="str">
        <f>B33</f>
        <v>AUXILIAR DE SERVIÇOS GERAIS</v>
      </c>
      <c r="C32" s="159" t="s">
        <v>45</v>
      </c>
      <c r="D32" s="159" t="s">
        <v>56</v>
      </c>
      <c r="E32" s="160"/>
      <c r="F32" s="161"/>
      <c r="G32" s="163"/>
    </row>
    <row r="33" spans="1:7" ht="13.5" customHeight="1">
      <c r="A33" s="331">
        <f>ORÇAMENTO!J13</f>
        <v>0</v>
      </c>
      <c r="B33" s="320" t="str">
        <f>ORÇAMENTO!B13</f>
        <v>AUXILIAR DE SERVIÇOS GERAIS</v>
      </c>
      <c r="C33" s="321" t="s">
        <v>47</v>
      </c>
      <c r="D33" s="321" t="s">
        <v>57</v>
      </c>
      <c r="E33" s="332">
        <v>190</v>
      </c>
      <c r="F33" s="323">
        <f>803/E33</f>
        <v>4.2263157894736842</v>
      </c>
      <c r="G33" s="324">
        <f>E33*F33</f>
        <v>803</v>
      </c>
    </row>
    <row r="34" spans="1:7" ht="13.5" customHeight="1">
      <c r="A34" s="454" t="s">
        <v>48</v>
      </c>
      <c r="B34" s="455"/>
      <c r="C34" s="455"/>
      <c r="D34" s="455"/>
      <c r="E34" s="455"/>
      <c r="F34" s="455"/>
      <c r="G34" s="351">
        <f>G33</f>
        <v>803</v>
      </c>
    </row>
    <row r="35" spans="1:7" ht="13.5" customHeight="1">
      <c r="A35" s="454" t="s">
        <v>58</v>
      </c>
      <c r="B35" s="455"/>
      <c r="C35" s="455"/>
      <c r="D35" s="455"/>
      <c r="E35" s="455"/>
      <c r="F35" s="455"/>
      <c r="G35" s="351">
        <v>0</v>
      </c>
    </row>
    <row r="36" spans="1:7" ht="13.5" customHeight="1">
      <c r="A36" s="454" t="s">
        <v>49</v>
      </c>
      <c r="B36" s="455"/>
      <c r="C36" s="455"/>
      <c r="D36" s="455"/>
      <c r="E36" s="455"/>
      <c r="F36" s="455"/>
      <c r="G36" s="325">
        <f>SUM(G34:G35)</f>
        <v>803</v>
      </c>
    </row>
    <row r="37" spans="1:7" ht="13.5" customHeight="1">
      <c r="A37" s="459" t="s">
        <v>59</v>
      </c>
      <c r="B37" s="460"/>
      <c r="C37" s="460"/>
      <c r="D37" s="460"/>
      <c r="E37" s="467"/>
      <c r="F37" s="334">
        <v>0.3</v>
      </c>
      <c r="G37" s="351">
        <f>G36*F37</f>
        <v>240.89999999999998</v>
      </c>
    </row>
    <row r="38" spans="1:7" ht="13.5" customHeight="1">
      <c r="A38" s="459" t="s">
        <v>51</v>
      </c>
      <c r="B38" s="460"/>
      <c r="C38" s="460"/>
      <c r="D38" s="460"/>
      <c r="E38" s="460"/>
      <c r="F38" s="326">
        <v>0.74480000000000002</v>
      </c>
      <c r="G38" s="351">
        <f>F38*G34</f>
        <v>598.07439999999997</v>
      </c>
    </row>
    <row r="39" spans="1:7" ht="13.5" customHeight="1">
      <c r="A39" s="400"/>
      <c r="B39" s="401"/>
      <c r="C39" s="401"/>
      <c r="D39" s="401"/>
      <c r="E39" s="402" t="str">
        <f>'Adicionais e Encargos compl'!$A$13</f>
        <v>AUXILIO ALIMENTAÇÃO</v>
      </c>
      <c r="F39" s="327">
        <f>'Adicionais e Encargos compl'!$B$17</f>
        <v>0.18738574040219377</v>
      </c>
      <c r="G39" s="351">
        <f>G34*F39</f>
        <v>150.47074954296161</v>
      </c>
    </row>
    <row r="40" spans="1:7" ht="13.5" customHeight="1">
      <c r="A40" s="400"/>
      <c r="B40" s="401"/>
      <c r="C40" s="401"/>
      <c r="D40" s="401"/>
      <c r="E40" s="402" t="str">
        <f>'Adicionais e Encargos compl'!$A$19</f>
        <v>VALE TRANSPORTE</v>
      </c>
      <c r="F40" s="327">
        <f>'Adicionais e Encargos compl'!$B$24</f>
        <v>0.1246800731261426</v>
      </c>
      <c r="G40" s="351">
        <f>G34*F40</f>
        <v>100.11809872029251</v>
      </c>
    </row>
    <row r="41" spans="1:7" ht="13.5" customHeight="1">
      <c r="A41" s="400"/>
      <c r="B41" s="401"/>
      <c r="C41" s="401"/>
      <c r="D41" s="401"/>
      <c r="E41" s="402" t="e">
        <f>'Adicionais e Encargos compl'!#REF!</f>
        <v>#REF!</v>
      </c>
      <c r="F41" s="327" t="e">
        <f>'Adicionais e Encargos compl'!#REF!</f>
        <v>#REF!</v>
      </c>
      <c r="G41" s="351" t="e">
        <f>G34*F41</f>
        <v>#REF!</v>
      </c>
    </row>
    <row r="42" spans="1:7" ht="13.5" customHeight="1">
      <c r="A42" s="400"/>
      <c r="B42" s="401"/>
      <c r="C42" s="349"/>
      <c r="D42" s="349"/>
      <c r="E42" s="350" t="e">
        <f>'Adicionais e Encargos compl'!#REF!</f>
        <v>#REF!</v>
      </c>
      <c r="F42" s="330" t="e">
        <f>'Adicionais e Encargos compl'!#REF!</f>
        <v>#REF!</v>
      </c>
      <c r="G42" s="318" t="e">
        <f>G34*F42</f>
        <v>#REF!</v>
      </c>
    </row>
    <row r="43" spans="1:7" ht="13.5" customHeight="1">
      <c r="A43" s="328"/>
      <c r="B43" s="329"/>
      <c r="C43" s="349"/>
      <c r="D43" s="349"/>
      <c r="E43" s="350" t="e">
        <f>'Adicionais e Encargos compl'!#REF!</f>
        <v>#REF!</v>
      </c>
      <c r="F43" s="330" t="e">
        <f>'Adicionais e Encargos compl'!#REF!</f>
        <v>#REF!</v>
      </c>
      <c r="G43" s="318" t="e">
        <f>G34*F43</f>
        <v>#REF!</v>
      </c>
    </row>
    <row r="44" spans="1:7" ht="13.5" customHeight="1">
      <c r="A44" s="328"/>
      <c r="B44" s="329"/>
      <c r="C44" s="329"/>
      <c r="D44" s="349"/>
      <c r="E44" s="350" t="e">
        <f>'Adicionais e Encargos compl'!#REF!</f>
        <v>#REF!</v>
      </c>
      <c r="F44" s="330" t="e">
        <f>'Adicionais e Encargos compl'!#REF!</f>
        <v>#REF!</v>
      </c>
      <c r="G44" s="318" t="e">
        <f>G34*F44</f>
        <v>#REF!</v>
      </c>
    </row>
    <row r="45" spans="1:7" ht="13.5" customHeight="1">
      <c r="A45" s="328"/>
      <c r="B45" s="329"/>
      <c r="C45" s="349"/>
      <c r="D45" s="349"/>
      <c r="E45" s="350" t="str">
        <f>'Adicionais e Encargos compl'!$A$26</f>
        <v>EPI/UNIFORME</v>
      </c>
      <c r="F45" s="330">
        <f>'Adicionais e Encargos compl'!$B$29</f>
        <v>2.9296160877513713E-2</v>
      </c>
      <c r="G45" s="318">
        <f>G34*F45</f>
        <v>23.52481718464351</v>
      </c>
    </row>
    <row r="46" spans="1:7" ht="13.5" customHeight="1">
      <c r="A46" s="454" t="s">
        <v>52</v>
      </c>
      <c r="B46" s="455"/>
      <c r="C46" s="455"/>
      <c r="D46" s="455"/>
      <c r="E46" s="455"/>
      <c r="F46" s="455"/>
      <c r="G46" s="351" t="e">
        <f>SUM(G37:G45)</f>
        <v>#REF!</v>
      </c>
    </row>
    <row r="47" spans="1:7" ht="13.5" customHeight="1">
      <c r="A47" s="454" t="s">
        <v>60</v>
      </c>
      <c r="B47" s="455"/>
      <c r="C47" s="455"/>
      <c r="D47" s="455"/>
      <c r="E47" s="455"/>
      <c r="F47" s="455"/>
      <c r="G47" s="325" t="e">
        <f>TRUNC(G36+G46,2)</f>
        <v>#REF!</v>
      </c>
    </row>
    <row r="48" spans="1:7" ht="13.5" customHeight="1">
      <c r="A48" s="454" t="s">
        <v>61</v>
      </c>
      <c r="B48" s="455"/>
      <c r="C48" s="455"/>
      <c r="D48" s="455"/>
      <c r="E48" s="455"/>
      <c r="F48" s="455"/>
      <c r="G48" s="351" t="e">
        <f>ORÇAMENTO!E13</f>
        <v>#REF!</v>
      </c>
    </row>
    <row r="49" spans="1:10" s="225" customFormat="1" ht="13.5" customHeight="1">
      <c r="A49" s="454" t="s">
        <v>62</v>
      </c>
      <c r="B49" s="455"/>
      <c r="C49" s="455"/>
      <c r="D49" s="455"/>
      <c r="E49" s="455"/>
      <c r="F49" s="455"/>
      <c r="G49" s="325" t="e">
        <f>TRUNC(G47*G48,2)</f>
        <v>#REF!</v>
      </c>
    </row>
    <row r="50" spans="1:10" ht="13.5" customHeight="1">
      <c r="A50" s="464"/>
      <c r="B50" s="465"/>
      <c r="C50" s="465"/>
      <c r="D50" s="465"/>
      <c r="E50" s="465"/>
      <c r="F50" s="465"/>
      <c r="G50" s="466"/>
    </row>
    <row r="51" spans="1:10" ht="13.5" hidden="1" customHeight="1">
      <c r="A51" s="162" t="e">
        <f>ORÇAMENTO!#REF!</f>
        <v>#REF!</v>
      </c>
      <c r="B51" s="158" t="e">
        <f>B52</f>
        <v>#REF!</v>
      </c>
      <c r="C51" s="159" t="s">
        <v>45</v>
      </c>
      <c r="D51" s="159" t="s">
        <v>56</v>
      </c>
      <c r="E51" s="160"/>
      <c r="F51" s="161"/>
      <c r="G51" s="163">
        <f>3.08*1.7448</f>
        <v>5.3739840000000001</v>
      </c>
    </row>
    <row r="52" spans="1:10" ht="13.5" hidden="1" customHeight="1">
      <c r="A52" s="331" t="e">
        <f>ORÇAMENTO!#REF!</f>
        <v>#REF!</v>
      </c>
      <c r="B52" s="320" t="e">
        <f>ORÇAMENTO!#REF!</f>
        <v>#REF!</v>
      </c>
      <c r="C52" s="321" t="s">
        <v>47</v>
      </c>
      <c r="D52" s="321" t="s">
        <v>57</v>
      </c>
      <c r="E52" s="332">
        <v>190</v>
      </c>
      <c r="F52" s="333">
        <f>12.05/1.7448</f>
        <v>6.9062356717102258</v>
      </c>
      <c r="G52" s="324">
        <f>E52*F52</f>
        <v>1312.1847776249429</v>
      </c>
      <c r="I52" s="234"/>
      <c r="J52" s="236"/>
    </row>
    <row r="53" spans="1:10" ht="13.5" hidden="1" customHeight="1">
      <c r="A53" s="454" t="s">
        <v>48</v>
      </c>
      <c r="B53" s="455"/>
      <c r="C53" s="455"/>
      <c r="D53" s="455"/>
      <c r="E53" s="455"/>
      <c r="F53" s="455"/>
      <c r="G53" s="351">
        <f>G52</f>
        <v>1312.1847776249429</v>
      </c>
    </row>
    <row r="54" spans="1:10" ht="13.5" hidden="1" customHeight="1">
      <c r="A54" s="454" t="s">
        <v>58</v>
      </c>
      <c r="B54" s="455"/>
      <c r="C54" s="455"/>
      <c r="D54" s="455"/>
      <c r="E54" s="455"/>
      <c r="F54" s="455"/>
      <c r="G54" s="351">
        <v>0</v>
      </c>
      <c r="I54" s="125"/>
    </row>
    <row r="55" spans="1:10" ht="13.5" hidden="1" customHeight="1">
      <c r="A55" s="454" t="s">
        <v>49</v>
      </c>
      <c r="B55" s="455"/>
      <c r="C55" s="455"/>
      <c r="D55" s="455"/>
      <c r="E55" s="455"/>
      <c r="F55" s="455"/>
      <c r="G55" s="325">
        <f>SUM(G53:G54)</f>
        <v>1312.1847776249429</v>
      </c>
    </row>
    <row r="56" spans="1:10" ht="13.5" hidden="1" customHeight="1">
      <c r="A56" s="459" t="s">
        <v>59</v>
      </c>
      <c r="B56" s="460"/>
      <c r="C56" s="460"/>
      <c r="D56" s="460"/>
      <c r="E56" s="467"/>
      <c r="F56" s="334">
        <v>0.3</v>
      </c>
      <c r="G56" s="351">
        <f>G55*F56</f>
        <v>393.65543328748282</v>
      </c>
    </row>
    <row r="57" spans="1:10" ht="13.5" hidden="1" customHeight="1">
      <c r="A57" s="459" t="s">
        <v>51</v>
      </c>
      <c r="B57" s="460"/>
      <c r="C57" s="460"/>
      <c r="D57" s="460"/>
      <c r="E57" s="460"/>
      <c r="F57" s="326">
        <v>0.74480000000000002</v>
      </c>
      <c r="G57" s="351">
        <f>F57*G53</f>
        <v>977.31522237505749</v>
      </c>
    </row>
    <row r="58" spans="1:10" ht="13.5" hidden="1" customHeight="1">
      <c r="A58" s="400"/>
      <c r="B58" s="401"/>
      <c r="C58" s="401"/>
      <c r="D58" s="401"/>
      <c r="E58" s="402" t="str">
        <f>'Adicionais e Encargos compl'!$A$13</f>
        <v>AUXILIO ALIMENTAÇÃO</v>
      </c>
      <c r="F58" s="327">
        <f>'Adicionais e Encargos compl'!$B$17</f>
        <v>0.18738574040219377</v>
      </c>
      <c r="G58" s="351">
        <f>G53*F58</f>
        <v>245.88471609973791</v>
      </c>
    </row>
    <row r="59" spans="1:10" ht="13.5" hidden="1" customHeight="1">
      <c r="A59" s="400"/>
      <c r="B59" s="401"/>
      <c r="C59" s="401"/>
      <c r="D59" s="401"/>
      <c r="E59" s="402" t="str">
        <f>'Adicionais e Encargos compl'!$A$19</f>
        <v>VALE TRANSPORTE</v>
      </c>
      <c r="F59" s="327">
        <f>'Adicionais e Encargos compl'!$B$24</f>
        <v>0.1246800731261426</v>
      </c>
      <c r="G59" s="351">
        <f>G53*F59</f>
        <v>163.60329402928903</v>
      </c>
    </row>
    <row r="60" spans="1:10" ht="13.5" hidden="1" customHeight="1">
      <c r="A60" s="400"/>
      <c r="B60" s="401"/>
      <c r="C60" s="401"/>
      <c r="D60" s="401"/>
      <c r="E60" s="402" t="e">
        <f>'Adicionais e Encargos compl'!#REF!</f>
        <v>#REF!</v>
      </c>
      <c r="F60" s="327" t="e">
        <f>'Adicionais e Encargos compl'!#REF!</f>
        <v>#REF!</v>
      </c>
      <c r="G60" s="351" t="e">
        <f>G53*F60</f>
        <v>#REF!</v>
      </c>
    </row>
    <row r="61" spans="1:10" ht="13.5" hidden="1" customHeight="1">
      <c r="A61" s="400"/>
      <c r="B61" s="401"/>
      <c r="C61" s="349"/>
      <c r="D61" s="349"/>
      <c r="E61" s="350" t="e">
        <f>'Adicionais e Encargos compl'!#REF!</f>
        <v>#REF!</v>
      </c>
      <c r="F61" s="330" t="e">
        <f>'Adicionais e Encargos compl'!#REF!</f>
        <v>#REF!</v>
      </c>
      <c r="G61" s="318" t="e">
        <f>G53*F61</f>
        <v>#REF!</v>
      </c>
    </row>
    <row r="62" spans="1:10" ht="13.5" hidden="1" customHeight="1">
      <c r="A62" s="400"/>
      <c r="B62" s="401"/>
      <c r="C62" s="349"/>
      <c r="D62" s="349"/>
      <c r="E62" s="350" t="e">
        <f>'Adicionais e Encargos compl'!#REF!</f>
        <v>#REF!</v>
      </c>
      <c r="F62" s="330" t="e">
        <f>'Adicionais e Encargos compl'!#REF!</f>
        <v>#REF!</v>
      </c>
      <c r="G62" s="318" t="e">
        <f>G53*F62</f>
        <v>#REF!</v>
      </c>
    </row>
    <row r="63" spans="1:10" ht="13.5" hidden="1" customHeight="1">
      <c r="A63" s="400"/>
      <c r="B63" s="329"/>
      <c r="C63" s="329"/>
      <c r="D63" s="349"/>
      <c r="E63" s="350" t="e">
        <f>'Adicionais e Encargos compl'!#REF!</f>
        <v>#REF!</v>
      </c>
      <c r="F63" s="330" t="e">
        <f>'Adicionais e Encargos compl'!#REF!</f>
        <v>#REF!</v>
      </c>
      <c r="G63" s="318" t="e">
        <f>G53*F63</f>
        <v>#REF!</v>
      </c>
    </row>
    <row r="64" spans="1:10" ht="13.5" hidden="1" customHeight="1">
      <c r="A64" s="400"/>
      <c r="B64" s="401"/>
      <c r="C64" s="349"/>
      <c r="D64" s="349"/>
      <c r="E64" s="350" t="str">
        <f>'Adicionais e Encargos compl'!$A$26</f>
        <v>EPI/UNIFORME</v>
      </c>
      <c r="F64" s="330">
        <f>'Adicionais e Encargos compl'!$B$29</f>
        <v>2.9296160877513713E-2</v>
      </c>
      <c r="G64" s="318">
        <f>G53*F64</f>
        <v>38.441976346324878</v>
      </c>
    </row>
    <row r="65" spans="1:7" ht="13.5" hidden="1" customHeight="1">
      <c r="A65" s="454" t="s">
        <v>52</v>
      </c>
      <c r="B65" s="455"/>
      <c r="C65" s="455"/>
      <c r="D65" s="455"/>
      <c r="E65" s="455"/>
      <c r="F65" s="455"/>
      <c r="G65" s="351" t="e">
        <f>SUM(G56:G64)</f>
        <v>#REF!</v>
      </c>
    </row>
    <row r="66" spans="1:7" ht="13.5" hidden="1" customHeight="1">
      <c r="A66" s="454" t="s">
        <v>60</v>
      </c>
      <c r="B66" s="455"/>
      <c r="C66" s="455"/>
      <c r="D66" s="455"/>
      <c r="E66" s="455"/>
      <c r="F66" s="455"/>
      <c r="G66" s="325" t="e">
        <f>TRUNC(G55+G65,2)</f>
        <v>#REF!</v>
      </c>
    </row>
    <row r="67" spans="1:7" ht="13.5" hidden="1" customHeight="1">
      <c r="A67" s="454" t="s">
        <v>61</v>
      </c>
      <c r="B67" s="455"/>
      <c r="C67" s="455"/>
      <c r="D67" s="455"/>
      <c r="E67" s="455"/>
      <c r="F67" s="455"/>
      <c r="G67" s="351" t="e">
        <f>ORÇAMENTO!#REF!</f>
        <v>#REF!</v>
      </c>
    </row>
    <row r="68" spans="1:7" s="225" customFormat="1" ht="13.5" hidden="1" customHeight="1">
      <c r="A68" s="454" t="s">
        <v>62</v>
      </c>
      <c r="B68" s="455"/>
      <c r="C68" s="455"/>
      <c r="D68" s="455"/>
      <c r="E68" s="455"/>
      <c r="F68" s="455"/>
      <c r="G68" s="325" t="e">
        <f>TRUNC(G66*G67,2)</f>
        <v>#REF!</v>
      </c>
    </row>
    <row r="69" spans="1:7" ht="13.5" customHeight="1">
      <c r="A69" s="461"/>
      <c r="B69" s="462"/>
      <c r="C69" s="462"/>
      <c r="D69" s="462"/>
      <c r="E69" s="462"/>
      <c r="F69" s="462"/>
      <c r="G69" s="463"/>
    </row>
    <row r="70" spans="1:7" ht="13.5" customHeight="1">
      <c r="A70" s="162" t="str">
        <f>ORÇAMENTO!I14</f>
        <v>ACORDO COLETIVO 2015</v>
      </c>
      <c r="B70" s="158" t="str">
        <f>ORÇAMENTO!B14</f>
        <v>OPERADOR DE ROÇADEIRA</v>
      </c>
      <c r="C70" s="159" t="s">
        <v>45</v>
      </c>
      <c r="D70" s="159" t="s">
        <v>56</v>
      </c>
      <c r="E70" s="160"/>
      <c r="F70" s="161"/>
      <c r="G70" s="163"/>
    </row>
    <row r="71" spans="1:7" ht="13.5" customHeight="1">
      <c r="A71" s="331" t="str">
        <f>A70</f>
        <v>ACORDO COLETIVO 2015</v>
      </c>
      <c r="B71" s="320" t="str">
        <f>B70</f>
        <v>OPERADOR DE ROÇADEIRA</v>
      </c>
      <c r="C71" s="321" t="s">
        <v>47</v>
      </c>
      <c r="D71" s="321" t="s">
        <v>57</v>
      </c>
      <c r="E71" s="332">
        <v>190</v>
      </c>
      <c r="F71" s="323">
        <f>815.97/E71</f>
        <v>4.2945789473684215</v>
      </c>
      <c r="G71" s="324">
        <f>E71*F71</f>
        <v>815.97</v>
      </c>
    </row>
    <row r="72" spans="1:7" ht="13.5" customHeight="1">
      <c r="A72" s="454" t="s">
        <v>48</v>
      </c>
      <c r="B72" s="455"/>
      <c r="C72" s="455"/>
      <c r="D72" s="455"/>
      <c r="E72" s="455"/>
      <c r="F72" s="455"/>
      <c r="G72" s="351">
        <f>G71</f>
        <v>815.97</v>
      </c>
    </row>
    <row r="73" spans="1:7" ht="13.5" customHeight="1">
      <c r="A73" s="454" t="s">
        <v>58</v>
      </c>
      <c r="B73" s="455"/>
      <c r="C73" s="455"/>
      <c r="D73" s="455"/>
      <c r="E73" s="455"/>
      <c r="F73" s="455"/>
      <c r="G73" s="351">
        <v>0</v>
      </c>
    </row>
    <row r="74" spans="1:7" ht="13.5" customHeight="1">
      <c r="A74" s="454" t="s">
        <v>49</v>
      </c>
      <c r="B74" s="455"/>
      <c r="C74" s="455"/>
      <c r="D74" s="455"/>
      <c r="E74" s="455"/>
      <c r="F74" s="455"/>
      <c r="G74" s="325">
        <f>SUM(G72:G73)</f>
        <v>815.97</v>
      </c>
    </row>
    <row r="75" spans="1:7" ht="13.5" customHeight="1">
      <c r="A75" s="459" t="s">
        <v>59</v>
      </c>
      <c r="B75" s="460"/>
      <c r="C75" s="460"/>
      <c r="D75" s="460"/>
      <c r="E75" s="467"/>
      <c r="F75" s="334">
        <v>0.3</v>
      </c>
      <c r="G75" s="351">
        <f>G74*F75</f>
        <v>244.791</v>
      </c>
    </row>
    <row r="76" spans="1:7" ht="13.5" customHeight="1">
      <c r="A76" s="459" t="s">
        <v>51</v>
      </c>
      <c r="B76" s="460"/>
      <c r="C76" s="460"/>
      <c r="D76" s="460"/>
      <c r="E76" s="460"/>
      <c r="F76" s="326">
        <v>0.74480000000000002</v>
      </c>
      <c r="G76" s="351">
        <f>F76*G72</f>
        <v>607.73445600000002</v>
      </c>
    </row>
    <row r="77" spans="1:7" ht="13.5" customHeight="1">
      <c r="A77" s="400"/>
      <c r="B77" s="401"/>
      <c r="C77" s="401"/>
      <c r="D77" s="401"/>
      <c r="E77" s="402" t="str">
        <f>'Adicionais e Encargos compl'!$A$13</f>
        <v>AUXILIO ALIMENTAÇÃO</v>
      </c>
      <c r="F77" s="327">
        <f>'Adicionais e Encargos compl'!$B$17</f>
        <v>0.18738574040219377</v>
      </c>
      <c r="G77" s="351">
        <f>G72*F77</f>
        <v>152.90114259597806</v>
      </c>
    </row>
    <row r="78" spans="1:7" ht="13.5" customHeight="1">
      <c r="A78" s="400"/>
      <c r="B78" s="401"/>
      <c r="C78" s="401"/>
      <c r="D78" s="401"/>
      <c r="E78" s="402" t="str">
        <f>'Adicionais e Encargos compl'!$A$19</f>
        <v>VALE TRANSPORTE</v>
      </c>
      <c r="F78" s="327">
        <f>'Adicionais e Encargos compl'!$B$24</f>
        <v>0.1246800731261426</v>
      </c>
      <c r="G78" s="351">
        <f>G72*F78</f>
        <v>101.73519926873858</v>
      </c>
    </row>
    <row r="79" spans="1:7" ht="13.5" customHeight="1">
      <c r="A79" s="400"/>
      <c r="B79" s="401"/>
      <c r="C79" s="401"/>
      <c r="D79" s="401"/>
      <c r="E79" s="402" t="e">
        <f>'Adicionais e Encargos compl'!#REF!</f>
        <v>#REF!</v>
      </c>
      <c r="F79" s="327" t="e">
        <f>'Adicionais e Encargos compl'!#REF!</f>
        <v>#REF!</v>
      </c>
      <c r="G79" s="351" t="e">
        <f>G72*F79</f>
        <v>#REF!</v>
      </c>
    </row>
    <row r="80" spans="1:7" ht="13.5" customHeight="1">
      <c r="A80" s="400"/>
      <c r="B80" s="349"/>
      <c r="C80" s="349"/>
      <c r="D80" s="349"/>
      <c r="E80" s="350" t="e">
        <f>'Adicionais e Encargos compl'!#REF!</f>
        <v>#REF!</v>
      </c>
      <c r="F80" s="330" t="e">
        <f>'Adicionais e Encargos compl'!#REF!</f>
        <v>#REF!</v>
      </c>
      <c r="G80" s="318" t="e">
        <f>G72*F80</f>
        <v>#REF!</v>
      </c>
    </row>
    <row r="81" spans="1:7" ht="13.5" customHeight="1">
      <c r="A81" s="328"/>
      <c r="B81" s="349"/>
      <c r="C81" s="349"/>
      <c r="D81" s="349"/>
      <c r="E81" s="350" t="e">
        <f>'Adicionais e Encargos compl'!#REF!</f>
        <v>#REF!</v>
      </c>
      <c r="F81" s="330" t="e">
        <f>'Adicionais e Encargos compl'!#REF!</f>
        <v>#REF!</v>
      </c>
      <c r="G81" s="318" t="e">
        <f>G72*F81</f>
        <v>#REF!</v>
      </c>
    </row>
    <row r="82" spans="1:7" ht="13.5" customHeight="1">
      <c r="A82" s="328"/>
      <c r="B82" s="329"/>
      <c r="C82" s="329"/>
      <c r="D82" s="349"/>
      <c r="E82" s="350" t="e">
        <f>'Adicionais e Encargos compl'!#REF!</f>
        <v>#REF!</v>
      </c>
      <c r="F82" s="330" t="e">
        <f>'Adicionais e Encargos compl'!#REF!</f>
        <v>#REF!</v>
      </c>
      <c r="G82" s="318" t="e">
        <f>G72*F82</f>
        <v>#REF!</v>
      </c>
    </row>
    <row r="83" spans="1:7" ht="13.5" customHeight="1">
      <c r="A83" s="328"/>
      <c r="B83" s="349"/>
      <c r="C83" s="349"/>
      <c r="D83" s="349"/>
      <c r="E83" s="350" t="str">
        <f>'Adicionais e Encargos compl'!$A$26</f>
        <v>EPI/UNIFORME</v>
      </c>
      <c r="F83" s="330">
        <f>'Adicionais e Encargos compl'!$B$29</f>
        <v>2.9296160877513713E-2</v>
      </c>
      <c r="G83" s="318">
        <f>G72*F83</f>
        <v>23.904788391224866</v>
      </c>
    </row>
    <row r="84" spans="1:7" ht="13.5" customHeight="1">
      <c r="A84" s="454" t="s">
        <v>52</v>
      </c>
      <c r="B84" s="455"/>
      <c r="C84" s="455"/>
      <c r="D84" s="455"/>
      <c r="E84" s="455"/>
      <c r="F84" s="455"/>
      <c r="G84" s="351" t="e">
        <f>SUM(G75:G83)</f>
        <v>#REF!</v>
      </c>
    </row>
    <row r="85" spans="1:7" ht="13.5" customHeight="1">
      <c r="A85" s="454" t="s">
        <v>60</v>
      </c>
      <c r="B85" s="455"/>
      <c r="C85" s="455"/>
      <c r="D85" s="455"/>
      <c r="E85" s="455"/>
      <c r="F85" s="455"/>
      <c r="G85" s="325" t="e">
        <f>TRUNC(G74+G84,2)</f>
        <v>#REF!</v>
      </c>
    </row>
    <row r="86" spans="1:7" ht="13.5" customHeight="1">
      <c r="A86" s="454" t="s">
        <v>61</v>
      </c>
      <c r="B86" s="455"/>
      <c r="C86" s="455"/>
      <c r="D86" s="455"/>
      <c r="E86" s="455"/>
      <c r="F86" s="455"/>
      <c r="G86" s="351">
        <f>ORÇAMENTO!E14</f>
        <v>96</v>
      </c>
    </row>
    <row r="87" spans="1:7" ht="13.5" customHeight="1">
      <c r="A87" s="454" t="s">
        <v>62</v>
      </c>
      <c r="B87" s="455"/>
      <c r="C87" s="455"/>
      <c r="D87" s="455"/>
      <c r="E87" s="455"/>
      <c r="F87" s="455"/>
      <c r="G87" s="325" t="e">
        <f>TRUNC(G85*G86,2)</f>
        <v>#REF!</v>
      </c>
    </row>
    <row r="88" spans="1:7" ht="13.5" customHeight="1">
      <c r="A88" s="461"/>
      <c r="B88" s="462"/>
      <c r="C88" s="462"/>
      <c r="D88" s="462"/>
      <c r="E88" s="462"/>
      <c r="F88" s="462"/>
      <c r="G88" s="463"/>
    </row>
    <row r="89" spans="1:7" ht="13.5" customHeight="1">
      <c r="A89" s="162" t="str">
        <f>ORÇAMENTO!I16</f>
        <v>SINAPI</v>
      </c>
      <c r="B89" s="158" t="str">
        <f>ORÇAMENTO!B16</f>
        <v>ENGº SEGURANÇA DO TRABALHO/MÉDICO DO TRABALHO</v>
      </c>
      <c r="C89" s="159" t="s">
        <v>45</v>
      </c>
      <c r="D89" s="159" t="s">
        <v>56</v>
      </c>
      <c r="E89" s="160"/>
      <c r="F89" s="161"/>
      <c r="G89" s="163"/>
    </row>
    <row r="90" spans="1:7" ht="13.5" customHeight="1">
      <c r="A90" s="331">
        <f>ORÇAMENTO!J16</f>
        <v>2706</v>
      </c>
      <c r="B90" s="320" t="str">
        <f>B89</f>
        <v>ENGº SEGURANÇA DO TRABALHO/MÉDICO DO TRABALHO</v>
      </c>
      <c r="C90" s="321" t="s">
        <v>47</v>
      </c>
      <c r="D90" s="321" t="s">
        <v>57</v>
      </c>
      <c r="E90" s="332">
        <f>3*26</f>
        <v>78</v>
      </c>
      <c r="F90" s="323">
        <f>66.5/1.7448</f>
        <v>38.113250802384229</v>
      </c>
      <c r="G90" s="324">
        <f>E90*F90</f>
        <v>2972.83356258597</v>
      </c>
    </row>
    <row r="91" spans="1:7" ht="13.5" customHeight="1">
      <c r="A91" s="454" t="s">
        <v>48</v>
      </c>
      <c r="B91" s="455"/>
      <c r="C91" s="455"/>
      <c r="D91" s="455"/>
      <c r="E91" s="455"/>
      <c r="F91" s="455"/>
      <c r="G91" s="351">
        <f>G90</f>
        <v>2972.83356258597</v>
      </c>
    </row>
    <row r="92" spans="1:7" ht="13.5" customHeight="1">
      <c r="A92" s="454" t="s">
        <v>58</v>
      </c>
      <c r="B92" s="455"/>
      <c r="C92" s="455"/>
      <c r="D92" s="455"/>
      <c r="E92" s="455"/>
      <c r="F92" s="455"/>
      <c r="G92" s="351">
        <v>0</v>
      </c>
    </row>
    <row r="93" spans="1:7" ht="13.5" customHeight="1">
      <c r="A93" s="454" t="s">
        <v>49</v>
      </c>
      <c r="B93" s="455"/>
      <c r="C93" s="455"/>
      <c r="D93" s="455"/>
      <c r="E93" s="455"/>
      <c r="F93" s="455"/>
      <c r="G93" s="325">
        <f>SUM(G91:G92)</f>
        <v>2972.83356258597</v>
      </c>
    </row>
    <row r="94" spans="1:7" ht="13.5" customHeight="1">
      <c r="A94" s="459" t="s">
        <v>59</v>
      </c>
      <c r="B94" s="460"/>
      <c r="C94" s="460"/>
      <c r="D94" s="460"/>
      <c r="E94" s="467"/>
      <c r="F94" s="334">
        <v>0.3</v>
      </c>
      <c r="G94" s="351">
        <f>G93*F94</f>
        <v>891.85006877579099</v>
      </c>
    </row>
    <row r="95" spans="1:7" ht="13.5" customHeight="1">
      <c r="A95" s="459" t="s">
        <v>51</v>
      </c>
      <c r="B95" s="460"/>
      <c r="C95" s="460"/>
      <c r="D95" s="460"/>
      <c r="E95" s="460"/>
      <c r="F95" s="326">
        <v>0.74480000000000002</v>
      </c>
      <c r="G95" s="351">
        <f>F95*G91</f>
        <v>2214.1664374140305</v>
      </c>
    </row>
    <row r="96" spans="1:7" ht="13.5" customHeight="1">
      <c r="A96" s="400"/>
      <c r="B96" s="401"/>
      <c r="C96" s="401"/>
      <c r="D96" s="401"/>
      <c r="E96" s="402" t="str">
        <f>'Adicionais e Encargos compl'!$A$13</f>
        <v>AUXILIO ALIMENTAÇÃO</v>
      </c>
      <c r="F96" s="327">
        <f>'Adicionais e Encargos compl'!$B$17</f>
        <v>0.18738574040219377</v>
      </c>
      <c r="G96" s="351">
        <f>G91*F96</f>
        <v>557.0666182176634</v>
      </c>
    </row>
    <row r="97" spans="1:19" ht="13.5" customHeight="1">
      <c r="A97" s="400"/>
      <c r="B97" s="401"/>
      <c r="C97" s="401"/>
      <c r="D97" s="401"/>
      <c r="E97" s="402" t="str">
        <f>'Adicionais e Encargos compl'!$A$19</f>
        <v>VALE TRANSPORTE</v>
      </c>
      <c r="F97" s="327">
        <f>'Adicionais e Encargos compl'!$B$24</f>
        <v>0.1246800731261426</v>
      </c>
      <c r="G97" s="351">
        <f>G91*F97</f>
        <v>370.65310597506976</v>
      </c>
    </row>
    <row r="98" spans="1:19" ht="13.5" customHeight="1">
      <c r="A98" s="400"/>
      <c r="B98" s="349"/>
      <c r="C98" s="349"/>
      <c r="D98" s="349"/>
      <c r="E98" s="350" t="e">
        <f>'Adicionais e Encargos compl'!#REF!</f>
        <v>#REF!</v>
      </c>
      <c r="F98" s="330" t="e">
        <f>'Adicionais e Encargos compl'!#REF!</f>
        <v>#REF!</v>
      </c>
      <c r="G98" s="318" t="e">
        <f>G91*F98</f>
        <v>#REF!</v>
      </c>
    </row>
    <row r="99" spans="1:19" ht="13.5" customHeight="1">
      <c r="A99" s="400"/>
      <c r="B99" s="349"/>
      <c r="C99" s="349"/>
      <c r="D99" s="349"/>
      <c r="E99" s="350" t="e">
        <f>'Adicionais e Encargos compl'!#REF!</f>
        <v>#REF!</v>
      </c>
      <c r="F99" s="330" t="e">
        <f>'Adicionais e Encargos compl'!#REF!</f>
        <v>#REF!</v>
      </c>
      <c r="G99" s="318" t="e">
        <f>G91*F99</f>
        <v>#REF!</v>
      </c>
    </row>
    <row r="100" spans="1:19" ht="13.5" customHeight="1">
      <c r="A100" s="328"/>
      <c r="B100" s="349"/>
      <c r="C100" s="349"/>
      <c r="D100" s="349"/>
      <c r="E100" s="350" t="e">
        <f>'Adicionais e Encargos compl'!#REF!</f>
        <v>#REF!</v>
      </c>
      <c r="F100" s="330" t="e">
        <f>'Adicionais e Encargos compl'!#REF!</f>
        <v>#REF!</v>
      </c>
      <c r="G100" s="318" t="e">
        <f>G91*F100</f>
        <v>#REF!</v>
      </c>
    </row>
    <row r="101" spans="1:19" ht="13.5" customHeight="1">
      <c r="A101" s="328"/>
      <c r="B101" s="329"/>
      <c r="C101" s="329"/>
      <c r="D101" s="349"/>
      <c r="E101" s="350" t="e">
        <f>'Adicionais e Encargos compl'!#REF!</f>
        <v>#REF!</v>
      </c>
      <c r="F101" s="330" t="e">
        <f>'Adicionais e Encargos compl'!#REF!</f>
        <v>#REF!</v>
      </c>
      <c r="G101" s="318" t="e">
        <f>G91*F101</f>
        <v>#REF!</v>
      </c>
    </row>
    <row r="102" spans="1:19" ht="13.5" customHeight="1">
      <c r="A102" s="328"/>
      <c r="B102" s="349"/>
      <c r="C102" s="349"/>
      <c r="D102" s="349"/>
      <c r="E102" s="350" t="str">
        <f>'Adicionais e Encargos compl'!$A$26</f>
        <v>EPI/UNIFORME</v>
      </c>
      <c r="F102" s="330">
        <f>'Adicionais e Encargos compl'!$B$29</f>
        <v>2.9296160877513713E-2</v>
      </c>
      <c r="G102" s="318">
        <f>G91*F102</f>
        <v>87.092610311590803</v>
      </c>
    </row>
    <row r="103" spans="1:19" ht="13.5" customHeight="1">
      <c r="A103" s="454" t="s">
        <v>52</v>
      </c>
      <c r="B103" s="455"/>
      <c r="C103" s="455"/>
      <c r="D103" s="455"/>
      <c r="E103" s="455"/>
      <c r="F103" s="455"/>
      <c r="G103" s="351" t="e">
        <f>SUM(G94:G102)</f>
        <v>#REF!</v>
      </c>
    </row>
    <row r="104" spans="1:19" ht="13.5" customHeight="1">
      <c r="A104" s="454" t="s">
        <v>60</v>
      </c>
      <c r="B104" s="455"/>
      <c r="C104" s="455"/>
      <c r="D104" s="455"/>
      <c r="E104" s="455"/>
      <c r="F104" s="455"/>
      <c r="G104" s="325" t="e">
        <f>TRUNC(G93+G103,2)</f>
        <v>#REF!</v>
      </c>
    </row>
    <row r="105" spans="1:19" ht="13.5" customHeight="1">
      <c r="A105" s="454" t="s">
        <v>61</v>
      </c>
      <c r="B105" s="455"/>
      <c r="C105" s="455"/>
      <c r="D105" s="455"/>
      <c r="E105" s="455"/>
      <c r="F105" s="455"/>
      <c r="G105" s="351">
        <f>ORÇAMENTO!E16</f>
        <v>24</v>
      </c>
    </row>
    <row r="106" spans="1:19" ht="13.5" customHeight="1">
      <c r="A106" s="454" t="s">
        <v>62</v>
      </c>
      <c r="B106" s="455"/>
      <c r="C106" s="455"/>
      <c r="D106" s="455"/>
      <c r="E106" s="455"/>
      <c r="F106" s="455"/>
      <c r="G106" s="325" t="e">
        <f>TRUNC(G104*G105,2)</f>
        <v>#REF!</v>
      </c>
    </row>
    <row r="107" spans="1:19" ht="13.5" customHeight="1">
      <c r="A107" s="403"/>
      <c r="B107" s="404"/>
      <c r="C107" s="404"/>
      <c r="D107" s="404"/>
      <c r="E107" s="404"/>
      <c r="F107" s="404"/>
      <c r="G107" s="405"/>
    </row>
    <row r="108" spans="1:19" ht="13.5" customHeight="1">
      <c r="A108" s="461"/>
      <c r="B108" s="462"/>
      <c r="C108" s="462"/>
      <c r="D108" s="462"/>
      <c r="E108" s="462"/>
      <c r="F108" s="462"/>
      <c r="G108" s="463"/>
      <c r="I108" s="118" t="s">
        <v>431</v>
      </c>
      <c r="O108" s="118">
        <v>1.148E-4</v>
      </c>
      <c r="P108" s="125">
        <v>232156.5</v>
      </c>
      <c r="Q108" s="118">
        <f>O108*P108</f>
        <v>26.651566200000001</v>
      </c>
      <c r="S108" s="118">
        <f>Q108+Q110+Q114+Q115</f>
        <v>42.661754910999996</v>
      </c>
    </row>
    <row r="109" spans="1:19" ht="13.5" customHeight="1">
      <c r="A109" s="162" t="str">
        <f>ORÇAMENTO!I15</f>
        <v>ACORDO COLETIVO 2015</v>
      </c>
      <c r="B109" s="158" t="str">
        <f>ORÇAMENTO!B15</f>
        <v>TÉC DE SEGURANÇA DO TRABALHO</v>
      </c>
      <c r="C109" s="159" t="s">
        <v>45</v>
      </c>
      <c r="D109" s="159" t="s">
        <v>56</v>
      </c>
      <c r="E109" s="160"/>
      <c r="F109" s="161"/>
      <c r="G109" s="163"/>
      <c r="I109" s="261" t="s">
        <v>432</v>
      </c>
      <c r="Q109" s="118">
        <f t="shared" ref="Q109:Q120" si="0">O109*P109</f>
        <v>0</v>
      </c>
      <c r="S109" s="261">
        <f>S108*1.25</f>
        <v>53.327193638749996</v>
      </c>
    </row>
    <row r="110" spans="1:19" ht="13.5" customHeight="1">
      <c r="A110" s="331" t="str">
        <f>A109</f>
        <v>ACORDO COLETIVO 2015</v>
      </c>
      <c r="B110" s="320" t="str">
        <f>B109</f>
        <v>TÉC DE SEGURANÇA DO TRABALHO</v>
      </c>
      <c r="C110" s="321" t="s">
        <v>47</v>
      </c>
      <c r="D110" s="321" t="s">
        <v>57</v>
      </c>
      <c r="E110" s="332">
        <v>190</v>
      </c>
      <c r="F110" s="323">
        <f>1321.37/E110</f>
        <v>6.9545789473684207</v>
      </c>
      <c r="G110" s="324">
        <f>E110*F110</f>
        <v>1321.37</v>
      </c>
      <c r="I110" s="118" t="s">
        <v>433</v>
      </c>
      <c r="O110" s="118">
        <v>2.1029999999999999E-4</v>
      </c>
      <c r="P110" s="125">
        <v>1791.17</v>
      </c>
      <c r="Q110" s="118">
        <f t="shared" si="0"/>
        <v>0.37668305099999999</v>
      </c>
    </row>
    <row r="111" spans="1:19" ht="13.5" customHeight="1">
      <c r="A111" s="454" t="s">
        <v>48</v>
      </c>
      <c r="B111" s="455"/>
      <c r="C111" s="455"/>
      <c r="D111" s="455"/>
      <c r="E111" s="455"/>
      <c r="F111" s="455"/>
      <c r="G111" s="351">
        <f>G110</f>
        <v>1321.37</v>
      </c>
      <c r="I111" s="118" t="s">
        <v>434</v>
      </c>
      <c r="Q111" s="118">
        <f t="shared" si="0"/>
        <v>0</v>
      </c>
    </row>
    <row r="112" spans="1:19" ht="13.5" customHeight="1">
      <c r="A112" s="454" t="s">
        <v>58</v>
      </c>
      <c r="B112" s="455"/>
      <c r="C112" s="455"/>
      <c r="D112" s="455"/>
      <c r="E112" s="455"/>
      <c r="F112" s="455"/>
      <c r="G112" s="351">
        <v>0</v>
      </c>
      <c r="Q112" s="118">
        <f t="shared" si="0"/>
        <v>0</v>
      </c>
    </row>
    <row r="113" spans="1:17" ht="13.5" customHeight="1">
      <c r="A113" s="454" t="s">
        <v>49</v>
      </c>
      <c r="B113" s="455"/>
      <c r="C113" s="455"/>
      <c r="D113" s="455"/>
      <c r="E113" s="455"/>
      <c r="F113" s="455"/>
      <c r="G113" s="325">
        <f>SUM(G111:G112)</f>
        <v>1321.37</v>
      </c>
      <c r="I113" s="118" t="s">
        <v>435</v>
      </c>
      <c r="Q113" s="118">
        <f t="shared" si="0"/>
        <v>0</v>
      </c>
    </row>
    <row r="114" spans="1:17" ht="13.5" customHeight="1">
      <c r="A114" s="459" t="s">
        <v>59</v>
      </c>
      <c r="B114" s="460"/>
      <c r="C114" s="460"/>
      <c r="D114" s="460"/>
      <c r="E114" s="467"/>
      <c r="F114" s="334">
        <v>0.3</v>
      </c>
      <c r="G114" s="351">
        <f>G113*F114</f>
        <v>396.41099999999994</v>
      </c>
      <c r="I114" s="118" t="s">
        <v>432</v>
      </c>
      <c r="O114" s="118">
        <v>6.6699999999999995E-5</v>
      </c>
      <c r="P114" s="125">
        <f>P108</f>
        <v>232156.5</v>
      </c>
      <c r="Q114" s="118">
        <f t="shared" si="0"/>
        <v>15.484838549999999</v>
      </c>
    </row>
    <row r="115" spans="1:17" ht="13.5" customHeight="1">
      <c r="A115" s="459" t="s">
        <v>51</v>
      </c>
      <c r="B115" s="460"/>
      <c r="C115" s="460"/>
      <c r="D115" s="460"/>
      <c r="E115" s="460"/>
      <c r="F115" s="326">
        <v>0.74480000000000002</v>
      </c>
      <c r="G115" s="351">
        <f>F115*G111</f>
        <v>984.15637599999991</v>
      </c>
      <c r="I115" s="118" t="s">
        <v>433</v>
      </c>
      <c r="O115" s="118">
        <v>8.2999999999999998E-5</v>
      </c>
      <c r="P115" s="125">
        <f>P110</f>
        <v>1791.17</v>
      </c>
      <c r="Q115" s="118">
        <f t="shared" si="0"/>
        <v>0.14866710999999999</v>
      </c>
    </row>
    <row r="116" spans="1:17" ht="13.5" customHeight="1">
      <c r="A116" s="400"/>
      <c r="B116" s="401"/>
      <c r="C116" s="401"/>
      <c r="D116" s="401"/>
      <c r="E116" s="402" t="str">
        <f>'Adicionais e Encargos compl'!$A$13</f>
        <v>AUXILIO ALIMENTAÇÃO</v>
      </c>
      <c r="F116" s="327">
        <f>'Adicionais e Encargos compl'!$B$17</f>
        <v>0.18738574040219377</v>
      </c>
      <c r="G116" s="351">
        <f>G111*F116</f>
        <v>247.60589579524677</v>
      </c>
      <c r="I116" s="118" t="s">
        <v>436</v>
      </c>
      <c r="Q116" s="118">
        <f t="shared" si="0"/>
        <v>0</v>
      </c>
    </row>
    <row r="117" spans="1:17" ht="13.5" customHeight="1">
      <c r="A117" s="400"/>
      <c r="B117" s="401"/>
      <c r="C117" s="401"/>
      <c r="D117" s="401"/>
      <c r="E117" s="402" t="str">
        <f>'Adicionais e Encargos compl'!$A$19</f>
        <v>VALE TRANSPORTE</v>
      </c>
      <c r="F117" s="327">
        <f>'Adicionais e Encargos compl'!$B$24</f>
        <v>0.1246800731261426</v>
      </c>
      <c r="G117" s="351">
        <f>G111*F117</f>
        <v>164.74850822669103</v>
      </c>
      <c r="Q117" s="118">
        <f t="shared" si="0"/>
        <v>0</v>
      </c>
    </row>
    <row r="118" spans="1:17" ht="13.5" customHeight="1">
      <c r="A118" s="400"/>
      <c r="B118" s="349"/>
      <c r="C118" s="349"/>
      <c r="D118" s="349"/>
      <c r="E118" s="350" t="e">
        <f>'Adicionais e Encargos compl'!#REF!</f>
        <v>#REF!</v>
      </c>
      <c r="F118" s="330" t="e">
        <f>'Adicionais e Encargos compl'!#REF!</f>
        <v>#REF!</v>
      </c>
      <c r="G118" s="318" t="e">
        <f>G111*F118</f>
        <v>#REF!</v>
      </c>
      <c r="I118" s="118" t="s">
        <v>437</v>
      </c>
      <c r="Q118" s="118">
        <f t="shared" si="0"/>
        <v>0</v>
      </c>
    </row>
    <row r="119" spans="1:17" ht="13.5" customHeight="1">
      <c r="A119" s="400"/>
      <c r="B119" s="349"/>
      <c r="C119" s="349"/>
      <c r="D119" s="349"/>
      <c r="E119" s="350" t="e">
        <f>'Adicionais e Encargos compl'!#REF!</f>
        <v>#REF!</v>
      </c>
      <c r="F119" s="330" t="e">
        <f>'Adicionais e Encargos compl'!#REF!</f>
        <v>#REF!</v>
      </c>
      <c r="G119" s="318" t="e">
        <f>G111*F119</f>
        <v>#REF!</v>
      </c>
      <c r="I119" s="118" t="s">
        <v>432</v>
      </c>
      <c r="O119" s="118">
        <v>22.5</v>
      </c>
      <c r="P119" s="118">
        <v>2.77</v>
      </c>
      <c r="Q119" s="118">
        <f t="shared" si="0"/>
        <v>62.325000000000003</v>
      </c>
    </row>
    <row r="120" spans="1:17" ht="13.5" customHeight="1">
      <c r="A120" s="328"/>
      <c r="B120" s="349"/>
      <c r="C120" s="349"/>
      <c r="D120" s="349"/>
      <c r="E120" s="350" t="e">
        <f>'Adicionais e Encargos compl'!#REF!</f>
        <v>#REF!</v>
      </c>
      <c r="F120" s="330" t="e">
        <f>'Adicionais e Encargos compl'!#REF!</f>
        <v>#REF!</v>
      </c>
      <c r="G120" s="318" t="e">
        <f>G111*F120</f>
        <v>#REF!</v>
      </c>
      <c r="I120" s="118" t="s">
        <v>433</v>
      </c>
      <c r="O120" s="118">
        <v>0.83</v>
      </c>
      <c r="P120" s="118">
        <v>3.33</v>
      </c>
      <c r="Q120" s="118">
        <f t="shared" si="0"/>
        <v>2.7639</v>
      </c>
    </row>
    <row r="121" spans="1:17" ht="13.5" customHeight="1">
      <c r="A121" s="328"/>
      <c r="B121" s="329"/>
      <c r="C121" s="329"/>
      <c r="D121" s="349"/>
      <c r="E121" s="350" t="e">
        <f>'Adicionais e Encargos compl'!#REF!</f>
        <v>#REF!</v>
      </c>
      <c r="F121" s="330" t="e">
        <f>'Adicionais e Encargos compl'!#REF!</f>
        <v>#REF!</v>
      </c>
      <c r="G121" s="318" t="e">
        <f>G111*F121</f>
        <v>#REF!</v>
      </c>
      <c r="I121" s="118" t="s">
        <v>438</v>
      </c>
    </row>
    <row r="122" spans="1:17" ht="13.5" customHeight="1">
      <c r="A122" s="328"/>
      <c r="B122" s="349"/>
      <c r="C122" s="349"/>
      <c r="D122" s="349"/>
      <c r="E122" s="350" t="str">
        <f>'Adicionais e Encargos compl'!$A$26</f>
        <v>EPI/UNIFORME</v>
      </c>
      <c r="F122" s="330">
        <f>'Adicionais e Encargos compl'!$B$29</f>
        <v>2.9296160877513713E-2</v>
      </c>
      <c r="G122" s="318">
        <f>G111*F122</f>
        <v>38.71106809872029</v>
      </c>
      <c r="I122" s="118" t="s">
        <v>439</v>
      </c>
    </row>
    <row r="123" spans="1:17" ht="13.5" customHeight="1">
      <c r="A123" s="454" t="s">
        <v>52</v>
      </c>
      <c r="B123" s="455"/>
      <c r="C123" s="455"/>
      <c r="D123" s="455"/>
      <c r="E123" s="455"/>
      <c r="F123" s="455"/>
      <c r="G123" s="351" t="e">
        <f>SUM(G114:G122)</f>
        <v>#REF!</v>
      </c>
      <c r="I123" s="118" t="s">
        <v>432</v>
      </c>
      <c r="O123" s="118">
        <v>1</v>
      </c>
      <c r="P123" s="118">
        <v>11.01</v>
      </c>
      <c r="Q123" s="118">
        <f>O123+P123</f>
        <v>12.01</v>
      </c>
    </row>
    <row r="124" spans="1:17" ht="13.5" customHeight="1">
      <c r="A124" s="454" t="s">
        <v>60</v>
      </c>
      <c r="B124" s="455"/>
      <c r="C124" s="455"/>
      <c r="D124" s="455"/>
      <c r="E124" s="455"/>
      <c r="F124" s="455"/>
      <c r="G124" s="325" t="e">
        <f>TRUNC(G113+G123,2)</f>
        <v>#REF!</v>
      </c>
      <c r="I124" s="118" t="s">
        <v>433</v>
      </c>
      <c r="Q124" s="118">
        <f>SUM(Q108:Q123)</f>
        <v>119.760654911</v>
      </c>
    </row>
    <row r="125" spans="1:17" ht="13.5" customHeight="1">
      <c r="A125" s="454" t="s">
        <v>61</v>
      </c>
      <c r="B125" s="455"/>
      <c r="C125" s="455"/>
      <c r="D125" s="455"/>
      <c r="E125" s="455"/>
      <c r="F125" s="455"/>
      <c r="G125" s="351">
        <f>ORÇAMENTO!E15</f>
        <v>24</v>
      </c>
      <c r="I125" s="118" t="s">
        <v>440</v>
      </c>
    </row>
    <row r="126" spans="1:17" ht="13.5" customHeight="1">
      <c r="A126" s="454" t="s">
        <v>62</v>
      </c>
      <c r="B126" s="455"/>
      <c r="C126" s="455"/>
      <c r="D126" s="455"/>
      <c r="E126" s="455"/>
      <c r="F126" s="455"/>
      <c r="G126" s="325" t="e">
        <f>TRUNC(G124*G125,2)</f>
        <v>#REF!</v>
      </c>
    </row>
    <row r="127" spans="1:17" ht="13.5" customHeight="1">
      <c r="A127" s="403"/>
      <c r="B127" s="404"/>
      <c r="C127" s="404"/>
      <c r="D127" s="404"/>
      <c r="E127" s="404"/>
      <c r="F127" s="404"/>
      <c r="G127" s="405"/>
    </row>
    <row r="128" spans="1:17" ht="13.5" customHeight="1">
      <c r="A128" s="162" t="str">
        <f>ORÇAMENTO!I114</f>
        <v>SINAPI</v>
      </c>
      <c r="B128" s="158" t="str">
        <f>B129</f>
        <v>CAMINHAO PIPA 10.000L TRUCADO, 208CV - 21,1T (VU=6ANOS) (INCLUI TANQUE DE ACO PARA TRANSPORTE DE AGUA E MOTOBOMBA CENTRIFUGA A GASOLINA 3,5CV (200H/MÊS)</v>
      </c>
      <c r="C128" s="159" t="s">
        <v>45</v>
      </c>
      <c r="D128" s="159" t="s">
        <v>441</v>
      </c>
      <c r="E128" s="250" t="s">
        <v>442</v>
      </c>
      <c r="F128" s="251" t="s">
        <v>411</v>
      </c>
      <c r="G128" s="252" t="s">
        <v>443</v>
      </c>
    </row>
    <row r="129" spans="1:7" ht="13.5" customHeight="1">
      <c r="A129" s="253">
        <f>ORÇAMENTO!J114</f>
        <v>5901</v>
      </c>
      <c r="B129" s="254" t="str">
        <f>ORÇAMENTO!B114</f>
        <v>CAMINHAO PIPA 10.000L TRUCADO, 208CV - 21,1T (VU=6ANOS) (INCLUI TANQUE DE ACO PARA TRANSPORTE DE AGUA E MOTOBOMBA CENTRIFUGA A GASOLINA 3,5CV (200H/MÊS)</v>
      </c>
      <c r="C129" s="255" t="s">
        <v>444</v>
      </c>
      <c r="D129" s="255" t="s">
        <v>57</v>
      </c>
      <c r="E129" s="256">
        <v>1</v>
      </c>
      <c r="F129" s="257">
        <v>122.49</v>
      </c>
      <c r="G129" s="258">
        <f>E129*F129</f>
        <v>122.49</v>
      </c>
    </row>
    <row r="130" spans="1:7" ht="13.5" customHeight="1">
      <c r="A130" s="253"/>
      <c r="B130" s="254"/>
      <c r="C130" s="255"/>
      <c r="D130" s="255"/>
      <c r="E130" s="256"/>
      <c r="F130" s="257"/>
      <c r="G130" s="258"/>
    </row>
    <row r="131" spans="1:7" ht="13.5" customHeight="1">
      <c r="A131" s="454" t="s">
        <v>48</v>
      </c>
      <c r="B131" s="455"/>
      <c r="C131" s="455"/>
      <c r="D131" s="455"/>
      <c r="E131" s="455"/>
      <c r="F131" s="455"/>
      <c r="G131" s="351">
        <v>0</v>
      </c>
    </row>
    <row r="132" spans="1:7" ht="13.5" customHeight="1">
      <c r="A132" s="454" t="s">
        <v>58</v>
      </c>
      <c r="B132" s="455"/>
      <c r="C132" s="455"/>
      <c r="D132" s="455"/>
      <c r="E132" s="455"/>
      <c r="F132" s="455"/>
      <c r="G132" s="351">
        <f>G129+G130</f>
        <v>122.49</v>
      </c>
    </row>
    <row r="133" spans="1:7" ht="13.5" customHeight="1">
      <c r="A133" s="454" t="s">
        <v>49</v>
      </c>
      <c r="B133" s="455"/>
      <c r="C133" s="455"/>
      <c r="D133" s="455"/>
      <c r="E133" s="455"/>
      <c r="F133" s="455"/>
      <c r="G133" s="325">
        <f>SUM(G131:G132)</f>
        <v>122.49</v>
      </c>
    </row>
    <row r="134" spans="1:7" ht="13.5" customHeight="1">
      <c r="A134" s="459" t="s">
        <v>51</v>
      </c>
      <c r="B134" s="460"/>
      <c r="C134" s="460"/>
      <c r="D134" s="460"/>
      <c r="E134" s="460"/>
      <c r="F134" s="326">
        <v>0.74480000000000002</v>
      </c>
      <c r="G134" s="351">
        <f>F134*G131</f>
        <v>0</v>
      </c>
    </row>
    <row r="135" spans="1:7" ht="13.5" customHeight="1">
      <c r="A135" s="454" t="s">
        <v>52</v>
      </c>
      <c r="B135" s="455"/>
      <c r="C135" s="455"/>
      <c r="D135" s="455"/>
      <c r="E135" s="455"/>
      <c r="F135" s="455"/>
      <c r="G135" s="351">
        <f>G134</f>
        <v>0</v>
      </c>
    </row>
    <row r="136" spans="1:7" ht="13.5" customHeight="1">
      <c r="A136" s="454" t="s">
        <v>60</v>
      </c>
      <c r="B136" s="455"/>
      <c r="C136" s="455"/>
      <c r="D136" s="455"/>
      <c r="E136" s="455"/>
      <c r="F136" s="455"/>
      <c r="G136" s="325">
        <f>TRUNC(G133+G135,2)</f>
        <v>122.49</v>
      </c>
    </row>
    <row r="137" spans="1:7" ht="13.5" customHeight="1">
      <c r="A137" s="454" t="s">
        <v>61</v>
      </c>
      <c r="B137" s="455"/>
      <c r="C137" s="455"/>
      <c r="D137" s="455"/>
      <c r="E137" s="455"/>
      <c r="F137" s="455"/>
      <c r="G137" s="351">
        <f>ORÇAMENTO!E114</f>
        <v>1599.84</v>
      </c>
    </row>
    <row r="138" spans="1:7" ht="13.5" customHeight="1">
      <c r="A138" s="454" t="s">
        <v>62</v>
      </c>
      <c r="B138" s="455"/>
      <c r="C138" s="455"/>
      <c r="D138" s="455"/>
      <c r="E138" s="455"/>
      <c r="F138" s="455"/>
      <c r="G138" s="325">
        <f>TRUNC(G136*G137,2)</f>
        <v>195964.4</v>
      </c>
    </row>
    <row r="139" spans="1:7" ht="13.5" customHeight="1">
      <c r="A139" s="403"/>
      <c r="B139" s="404"/>
      <c r="C139" s="404"/>
      <c r="D139" s="404"/>
      <c r="E139" s="404"/>
      <c r="F139" s="404"/>
      <c r="G139" s="405"/>
    </row>
    <row r="140" spans="1:7" ht="13.5" customHeight="1">
      <c r="A140" s="162" t="str">
        <f>ORÇAMENTO!I112</f>
        <v>DNIT</v>
      </c>
      <c r="B140" s="158" t="str">
        <f>ORÇAMENTO!B112</f>
        <v>CARREGADEIRA DE PNEUS: CASE: SR 175 - C/ VASSOURA SPS
155 DA AGF - (200H/MÊS)</v>
      </c>
      <c r="C140" s="159" t="s">
        <v>45</v>
      </c>
      <c r="D140" s="159" t="s">
        <v>441</v>
      </c>
      <c r="E140" s="250" t="s">
        <v>442</v>
      </c>
      <c r="F140" s="251" t="s">
        <v>411</v>
      </c>
      <c r="G140" s="252" t="s">
        <v>443</v>
      </c>
    </row>
    <row r="141" spans="1:7" ht="13.5" customHeight="1">
      <c r="A141" s="253" t="str">
        <f>ORÇAMENTO!J112</f>
        <v>E156</v>
      </c>
      <c r="B141" s="254" t="str">
        <f>B140</f>
        <v>CARREGADEIRA DE PNEUS: CASE: SR 175 - C/ VASSOURA SPS
155 DA AGF - (200H/MÊS)</v>
      </c>
      <c r="C141" s="255" t="s">
        <v>444</v>
      </c>
      <c r="D141" s="255" t="s">
        <v>57</v>
      </c>
      <c r="E141" s="256">
        <v>1</v>
      </c>
      <c r="F141" s="257">
        <v>56.71</v>
      </c>
      <c r="G141" s="258">
        <f>E141*F141</f>
        <v>56.71</v>
      </c>
    </row>
    <row r="142" spans="1:7" ht="13.5" customHeight="1">
      <c r="A142" s="253">
        <f>ORÇAMENTO!J26</f>
        <v>0</v>
      </c>
      <c r="B142" s="254" t="s">
        <v>445</v>
      </c>
      <c r="C142" s="255" t="s">
        <v>444</v>
      </c>
      <c r="D142" s="255" t="s">
        <v>57</v>
      </c>
      <c r="E142" s="256">
        <v>1.93</v>
      </c>
      <c r="F142" s="257">
        <v>2.77</v>
      </c>
      <c r="G142" s="258">
        <f>E142*F142</f>
        <v>5.3460999999999999</v>
      </c>
    </row>
    <row r="143" spans="1:7" ht="13.5" customHeight="1">
      <c r="A143" s="454" t="s">
        <v>48</v>
      </c>
      <c r="B143" s="455"/>
      <c r="C143" s="455"/>
      <c r="D143" s="455"/>
      <c r="E143" s="455"/>
      <c r="F143" s="455"/>
      <c r="G143" s="351">
        <v>0</v>
      </c>
    </row>
    <row r="144" spans="1:7" ht="13.5" customHeight="1">
      <c r="A144" s="454" t="s">
        <v>58</v>
      </c>
      <c r="B144" s="455"/>
      <c r="C144" s="455"/>
      <c r="D144" s="455"/>
      <c r="E144" s="455"/>
      <c r="F144" s="455"/>
      <c r="G144" s="351">
        <f>SUM(G141:G142)</f>
        <v>62.056100000000001</v>
      </c>
    </row>
    <row r="145" spans="1:21" ht="13.5" customHeight="1">
      <c r="A145" s="454" t="s">
        <v>49</v>
      </c>
      <c r="B145" s="455"/>
      <c r="C145" s="455"/>
      <c r="D145" s="455"/>
      <c r="E145" s="455"/>
      <c r="F145" s="455"/>
      <c r="G145" s="325">
        <f>SUM(G143:G144)</f>
        <v>62.056100000000001</v>
      </c>
      <c r="I145" s="118" t="s">
        <v>446</v>
      </c>
      <c r="R145" s="118" t="s">
        <v>57</v>
      </c>
    </row>
    <row r="146" spans="1:21" ht="13.5" customHeight="1">
      <c r="A146" s="459" t="s">
        <v>51</v>
      </c>
      <c r="B146" s="460"/>
      <c r="C146" s="460"/>
      <c r="D146" s="460"/>
      <c r="E146" s="460"/>
      <c r="F146" s="326">
        <v>0.74480000000000002</v>
      </c>
      <c r="G146" s="351">
        <f>F146*G143</f>
        <v>0</v>
      </c>
      <c r="I146" s="261" t="s">
        <v>447</v>
      </c>
      <c r="O146" s="118">
        <v>6.9999999999999994E-5</v>
      </c>
      <c r="P146" s="125">
        <v>312500</v>
      </c>
      <c r="R146" s="118">
        <f>O146*P146</f>
        <v>21.874999999999996</v>
      </c>
      <c r="T146" s="118">
        <f>R146+R158+R162</f>
        <v>46.375</v>
      </c>
      <c r="U146" s="118" t="s">
        <v>57</v>
      </c>
    </row>
    <row r="147" spans="1:21" ht="13.5" customHeight="1">
      <c r="A147" s="454" t="s">
        <v>52</v>
      </c>
      <c r="B147" s="455"/>
      <c r="C147" s="455"/>
      <c r="D147" s="455"/>
      <c r="E147" s="455"/>
      <c r="F147" s="455"/>
      <c r="G147" s="351">
        <f>G146</f>
        <v>0</v>
      </c>
      <c r="I147" s="118" t="s">
        <v>448</v>
      </c>
      <c r="O147" s="118" t="s">
        <v>449</v>
      </c>
      <c r="T147" s="261">
        <f>T146*1.25</f>
        <v>57.96875</v>
      </c>
      <c r="U147" s="118" t="s">
        <v>450</v>
      </c>
    </row>
    <row r="148" spans="1:21" ht="13.5" customHeight="1">
      <c r="A148" s="454" t="s">
        <v>60</v>
      </c>
      <c r="B148" s="455"/>
      <c r="C148" s="455"/>
      <c r="D148" s="455"/>
      <c r="E148" s="455"/>
      <c r="F148" s="455"/>
      <c r="G148" s="325">
        <f>TRUNC(G145+G147,2)</f>
        <v>62.05</v>
      </c>
      <c r="I148" s="118" t="s">
        <v>451</v>
      </c>
    </row>
    <row r="149" spans="1:21" ht="13.5" customHeight="1">
      <c r="A149" s="454" t="s">
        <v>61</v>
      </c>
      <c r="B149" s="455"/>
      <c r="C149" s="455"/>
      <c r="D149" s="455"/>
      <c r="E149" s="455"/>
      <c r="F149" s="455"/>
      <c r="G149" s="351">
        <f>ORÇAMENTO!E112</f>
        <v>7200</v>
      </c>
    </row>
    <row r="150" spans="1:21" ht="13.5" customHeight="1">
      <c r="A150" s="454" t="s">
        <v>62</v>
      </c>
      <c r="B150" s="455"/>
      <c r="C150" s="455"/>
      <c r="D150" s="455"/>
      <c r="E150" s="455"/>
      <c r="F150" s="455"/>
      <c r="G150" s="325">
        <f>TRUNC(G148*G149,2)</f>
        <v>446760</v>
      </c>
      <c r="I150" s="118" t="s">
        <v>452</v>
      </c>
    </row>
    <row r="151" spans="1:21" ht="13.5" customHeight="1">
      <c r="A151" s="403"/>
      <c r="B151" s="404"/>
      <c r="C151" s="404"/>
      <c r="D151" s="404"/>
      <c r="E151" s="404"/>
      <c r="F151" s="404"/>
      <c r="G151" s="405"/>
      <c r="I151" s="118" t="s">
        <v>447</v>
      </c>
      <c r="O151" s="118">
        <v>19.100000000000001</v>
      </c>
      <c r="P151" s="118">
        <v>2.77</v>
      </c>
      <c r="R151" s="118">
        <f>O151*P151</f>
        <v>52.907000000000004</v>
      </c>
    </row>
    <row r="152" spans="1:21" ht="13.5" customHeight="1">
      <c r="A152" s="162" t="str">
        <f>ORÇAMENTO!I113</f>
        <v>SINAPI e COTAÇÃO</v>
      </c>
      <c r="B152" s="158" t="str">
        <f>ORÇAMENTO!B113</f>
        <v>SOPRADOR E ASPIRADOR A COMBUSTAÇÃO (200H/MÊS)</v>
      </c>
      <c r="C152" s="159" t="s">
        <v>45</v>
      </c>
      <c r="D152" s="159" t="s">
        <v>441</v>
      </c>
      <c r="E152" s="250" t="s">
        <v>442</v>
      </c>
      <c r="F152" s="251" t="s">
        <v>411</v>
      </c>
      <c r="G152" s="252" t="s">
        <v>443</v>
      </c>
      <c r="I152" s="118" t="s">
        <v>453</v>
      </c>
      <c r="O152" s="118" t="s">
        <v>454</v>
      </c>
    </row>
    <row r="153" spans="1:21" ht="13.5" customHeight="1">
      <c r="A153" s="253" t="s">
        <v>455</v>
      </c>
      <c r="B153" s="254" t="str">
        <f>B152</f>
        <v>SOPRADOR E ASPIRADOR A COMBUSTAÇÃO (200H/MÊS)</v>
      </c>
      <c r="C153" s="255" t="s">
        <v>444</v>
      </c>
      <c r="D153" s="255" t="s">
        <v>57</v>
      </c>
      <c r="E153" s="256">
        <v>1</v>
      </c>
      <c r="F153" s="257">
        <f>(1149.9/12)/220</f>
        <v>0.43556818181818185</v>
      </c>
      <c r="G153" s="258">
        <f>E153*F153</f>
        <v>0.43556818181818185</v>
      </c>
      <c r="I153" s="118" t="s">
        <v>456</v>
      </c>
    </row>
    <row r="154" spans="1:21" ht="13.5" customHeight="1">
      <c r="A154" s="253">
        <f>ORÇAMENTO!J113</f>
        <v>4222</v>
      </c>
      <c r="B154" s="254" t="s">
        <v>445</v>
      </c>
      <c r="C154" s="255" t="s">
        <v>444</v>
      </c>
      <c r="D154" s="255" t="s">
        <v>57</v>
      </c>
      <c r="E154" s="256">
        <v>0.34</v>
      </c>
      <c r="F154" s="257">
        <v>3.33</v>
      </c>
      <c r="G154" s="258">
        <f>E154*F154</f>
        <v>1.1322000000000001</v>
      </c>
    </row>
    <row r="155" spans="1:21" ht="13.5" customHeight="1">
      <c r="A155" s="454" t="s">
        <v>48</v>
      </c>
      <c r="B155" s="455"/>
      <c r="C155" s="455"/>
      <c r="D155" s="455"/>
      <c r="E155" s="455"/>
      <c r="F155" s="455"/>
      <c r="G155" s="351">
        <v>0</v>
      </c>
      <c r="I155" s="118" t="s">
        <v>457</v>
      </c>
      <c r="O155" s="118">
        <v>1</v>
      </c>
      <c r="P155" s="118">
        <v>11.57</v>
      </c>
      <c r="R155" s="118">
        <f>O155*P155</f>
        <v>11.57</v>
      </c>
    </row>
    <row r="156" spans="1:21" ht="13.5" customHeight="1">
      <c r="A156" s="454" t="s">
        <v>58</v>
      </c>
      <c r="B156" s="455"/>
      <c r="C156" s="455"/>
      <c r="D156" s="455"/>
      <c r="E156" s="455"/>
      <c r="F156" s="455"/>
      <c r="G156" s="351">
        <f>SUM(G153:G154)</f>
        <v>1.5677681818181819</v>
      </c>
      <c r="I156" s="118" t="s">
        <v>458</v>
      </c>
    </row>
    <row r="157" spans="1:21" ht="13.5" customHeight="1">
      <c r="A157" s="454" t="s">
        <v>49</v>
      </c>
      <c r="B157" s="455"/>
      <c r="C157" s="455"/>
      <c r="D157" s="455"/>
      <c r="E157" s="455"/>
      <c r="F157" s="455"/>
      <c r="G157" s="325">
        <f>SUM(G155:G156)</f>
        <v>1.5677681818181819</v>
      </c>
      <c r="I157" s="118" t="s">
        <v>447</v>
      </c>
    </row>
    <row r="158" spans="1:21" ht="13.5" customHeight="1">
      <c r="A158" s="459" t="s">
        <v>51</v>
      </c>
      <c r="B158" s="460"/>
      <c r="C158" s="460"/>
      <c r="D158" s="460"/>
      <c r="E158" s="460"/>
      <c r="F158" s="326">
        <v>0.74480000000000002</v>
      </c>
      <c r="G158" s="351">
        <f>F158*G155</f>
        <v>0</v>
      </c>
      <c r="I158" s="118" t="s">
        <v>459</v>
      </c>
      <c r="O158" s="118">
        <v>6.3999999999999997E-5</v>
      </c>
      <c r="P158" s="125">
        <f>P146</f>
        <v>312500</v>
      </c>
      <c r="R158" s="118">
        <f>O158*P158</f>
        <v>20</v>
      </c>
    </row>
    <row r="159" spans="1:21" ht="13.5" customHeight="1">
      <c r="A159" s="454" t="s">
        <v>52</v>
      </c>
      <c r="B159" s="455"/>
      <c r="C159" s="455"/>
      <c r="D159" s="455"/>
      <c r="E159" s="455"/>
      <c r="F159" s="455"/>
      <c r="G159" s="351">
        <f>G158</f>
        <v>0</v>
      </c>
      <c r="I159" s="118" t="s">
        <v>451</v>
      </c>
    </row>
    <row r="160" spans="1:21" ht="13.5" customHeight="1">
      <c r="A160" s="454" t="s">
        <v>60</v>
      </c>
      <c r="B160" s="455"/>
      <c r="C160" s="455"/>
      <c r="D160" s="455"/>
      <c r="E160" s="455"/>
      <c r="F160" s="455"/>
      <c r="G160" s="325">
        <f>TRUNC(G157+G159,2)</f>
        <v>1.56</v>
      </c>
    </row>
    <row r="161" spans="1:18" ht="13.5" customHeight="1">
      <c r="A161" s="454" t="s">
        <v>61</v>
      </c>
      <c r="B161" s="455"/>
      <c r="C161" s="455"/>
      <c r="D161" s="455"/>
      <c r="E161" s="455"/>
      <c r="F161" s="455"/>
      <c r="G161" s="351">
        <f>ORÇAMENTO!E122</f>
        <v>0</v>
      </c>
      <c r="I161" s="118" t="s">
        <v>460</v>
      </c>
    </row>
    <row r="162" spans="1:18" ht="13.5" customHeight="1">
      <c r="A162" s="454" t="s">
        <v>62</v>
      </c>
      <c r="B162" s="455"/>
      <c r="C162" s="455"/>
      <c r="D162" s="455"/>
      <c r="E162" s="455"/>
      <c r="F162" s="455"/>
      <c r="G162" s="325">
        <f>TRUNC(G160*G161,2)</f>
        <v>0</v>
      </c>
      <c r="I162" s="118" t="s">
        <v>447</v>
      </c>
      <c r="O162" s="118">
        <v>1.4399999999999999E-5</v>
      </c>
      <c r="P162" s="125">
        <f>P158</f>
        <v>312500</v>
      </c>
      <c r="R162" s="118">
        <f>P162*O162</f>
        <v>4.5</v>
      </c>
    </row>
    <row r="163" spans="1:18" ht="13.5" customHeight="1">
      <c r="A163" s="403"/>
      <c r="B163" s="404"/>
      <c r="C163" s="404"/>
      <c r="D163" s="404"/>
      <c r="E163" s="404"/>
      <c r="F163" s="404"/>
      <c r="G163" s="405"/>
      <c r="I163" s="118" t="s">
        <v>461</v>
      </c>
      <c r="R163" s="118">
        <f>SUM(R146:R162)</f>
        <v>110.852</v>
      </c>
    </row>
    <row r="164" spans="1:18" ht="13.5" customHeight="1">
      <c r="A164" s="162" t="str">
        <f>ORÇAMENTO!I115</f>
        <v>SINAPI</v>
      </c>
      <c r="B164" s="158" t="str">
        <f>ORÇAMENTO!B115</f>
        <v>PÁ CARREGADEIRA SOBRE RODAS, POTÊNCIA LÍQUIDA 128 HP, CAPACIDADE DA CAÇAMBA 1,7 A 2,8 M3, PESO OPERACIONAL 11632 KG  (200 MÊS)
AF_06/2014 (200H/MÊS)</v>
      </c>
      <c r="C164" s="159" t="s">
        <v>45</v>
      </c>
      <c r="D164" s="159" t="s">
        <v>441</v>
      </c>
      <c r="E164" s="250" t="s">
        <v>442</v>
      </c>
      <c r="F164" s="251" t="s">
        <v>411</v>
      </c>
      <c r="G164" s="252" t="s">
        <v>443</v>
      </c>
      <c r="I164" s="118" t="s">
        <v>451</v>
      </c>
    </row>
    <row r="165" spans="1:18" ht="13.5" customHeight="1">
      <c r="A165" s="253">
        <f>ORÇAMENTO!J115</f>
        <v>5940</v>
      </c>
      <c r="B165" s="254" t="str">
        <f>B164</f>
        <v>PÁ CARREGADEIRA SOBRE RODAS, POTÊNCIA LÍQUIDA 128 HP, CAPACIDADE DA CAÇAMBA 1,7 A 2,8 M3, PESO OPERACIONAL 11632 KG  (200 MÊS)
AF_06/2014 (200H/MÊS)</v>
      </c>
      <c r="C165" s="255" t="s">
        <v>444</v>
      </c>
      <c r="D165" s="255" t="s">
        <v>57</v>
      </c>
      <c r="E165" s="256">
        <v>1</v>
      </c>
      <c r="F165" s="257">
        <f>115.68</f>
        <v>115.68</v>
      </c>
      <c r="G165" s="258">
        <f>E165*F165</f>
        <v>115.68</v>
      </c>
    </row>
    <row r="166" spans="1:18" ht="13.5" customHeight="1">
      <c r="A166" s="253"/>
      <c r="B166" s="254"/>
      <c r="C166" s="255"/>
      <c r="D166" s="255"/>
      <c r="E166" s="256"/>
      <c r="F166" s="257"/>
      <c r="G166" s="258"/>
    </row>
    <row r="167" spans="1:18" ht="13.5" customHeight="1">
      <c r="A167" s="454" t="s">
        <v>48</v>
      </c>
      <c r="B167" s="455"/>
      <c r="C167" s="455"/>
      <c r="D167" s="455"/>
      <c r="E167" s="455"/>
      <c r="F167" s="455"/>
      <c r="G167" s="351">
        <v>0</v>
      </c>
    </row>
    <row r="168" spans="1:18">
      <c r="A168" s="454" t="s">
        <v>58</v>
      </c>
      <c r="B168" s="455"/>
      <c r="C168" s="455"/>
      <c r="D168" s="455"/>
      <c r="E168" s="455"/>
      <c r="F168" s="455"/>
      <c r="G168" s="351">
        <f>SUM(G165:G166)</f>
        <v>115.68</v>
      </c>
    </row>
    <row r="169" spans="1:18">
      <c r="A169" s="454" t="s">
        <v>49</v>
      </c>
      <c r="B169" s="455"/>
      <c r="C169" s="455"/>
      <c r="D169" s="455"/>
      <c r="E169" s="455"/>
      <c r="F169" s="455"/>
      <c r="G169" s="325">
        <f>SUM(G167:G168)</f>
        <v>115.68</v>
      </c>
      <c r="I169" s="118" t="s">
        <v>462</v>
      </c>
    </row>
    <row r="170" spans="1:18">
      <c r="A170" s="459" t="s">
        <v>51</v>
      </c>
      <c r="B170" s="460"/>
      <c r="C170" s="460"/>
      <c r="D170" s="460"/>
      <c r="E170" s="460"/>
      <c r="F170" s="326">
        <v>0.74480000000000002</v>
      </c>
      <c r="G170" s="351">
        <f>F170*G167</f>
        <v>0</v>
      </c>
      <c r="I170" s="261" t="s">
        <v>463</v>
      </c>
    </row>
    <row r="171" spans="1:18">
      <c r="A171" s="454" t="s">
        <v>52</v>
      </c>
      <c r="B171" s="455"/>
      <c r="C171" s="455"/>
      <c r="D171" s="455"/>
      <c r="E171" s="455"/>
      <c r="F171" s="455"/>
      <c r="G171" s="351">
        <f>G170</f>
        <v>0</v>
      </c>
      <c r="I171" s="118" t="s">
        <v>464</v>
      </c>
    </row>
    <row r="172" spans="1:18">
      <c r="A172" s="454" t="s">
        <v>60</v>
      </c>
      <c r="B172" s="455"/>
      <c r="C172" s="455"/>
      <c r="D172" s="455"/>
      <c r="E172" s="455"/>
      <c r="F172" s="455"/>
      <c r="G172" s="325">
        <f>TRUNC(G169+G171,2)</f>
        <v>115.68</v>
      </c>
    </row>
    <row r="173" spans="1:18">
      <c r="A173" s="454" t="s">
        <v>61</v>
      </c>
      <c r="B173" s="455"/>
      <c r="C173" s="455"/>
      <c r="D173" s="455"/>
      <c r="E173" s="455"/>
      <c r="F173" s="455"/>
      <c r="G173" s="351">
        <f>ORÇAMENTO!E115</f>
        <v>799.92</v>
      </c>
      <c r="I173" s="118" t="s">
        <v>465</v>
      </c>
    </row>
    <row r="174" spans="1:18">
      <c r="A174" s="454" t="s">
        <v>62</v>
      </c>
      <c r="B174" s="455"/>
      <c r="C174" s="455"/>
      <c r="D174" s="455"/>
      <c r="E174" s="455"/>
      <c r="F174" s="455"/>
      <c r="G174" s="325">
        <f>TRUNC(G172*G173,2)</f>
        <v>92534.74</v>
      </c>
      <c r="I174" s="118" t="s">
        <v>466</v>
      </c>
    </row>
    <row r="175" spans="1:18">
      <c r="A175" s="403"/>
      <c r="B175" s="404"/>
      <c r="C175" s="404"/>
      <c r="D175" s="404"/>
      <c r="E175" s="404"/>
      <c r="F175" s="404"/>
      <c r="G175" s="405"/>
      <c r="I175" s="118" t="s">
        <v>467</v>
      </c>
    </row>
    <row r="176" spans="1:18" ht="38.25">
      <c r="A176" s="162" t="str">
        <f>ORÇAMENTO!I116</f>
        <v>SINAPI</v>
      </c>
      <c r="B176" s="158" t="str">
        <f>ORÇAMENTO!B116</f>
        <v>ROCADEIRA COSTAL COM MOTOR A GASOLINA DE *32* CC (200H/MÊS)</v>
      </c>
      <c r="C176" s="159" t="s">
        <v>45</v>
      </c>
      <c r="D176" s="159" t="s">
        <v>441</v>
      </c>
      <c r="E176" s="250" t="s">
        <v>442</v>
      </c>
      <c r="F176" s="251" t="s">
        <v>411</v>
      </c>
      <c r="G176" s="252" t="s">
        <v>443</v>
      </c>
      <c r="I176" s="118" t="s">
        <v>468</v>
      </c>
    </row>
    <row r="177" spans="1:9" ht="25.5">
      <c r="A177" s="253">
        <f>ORÇAMENTO!J116</f>
        <v>10559</v>
      </c>
      <c r="B177" s="254" t="str">
        <f>B176</f>
        <v>ROCADEIRA COSTAL COM MOTOR A GASOLINA DE *32* CC (200H/MÊS)</v>
      </c>
      <c r="C177" s="255" t="s">
        <v>444</v>
      </c>
      <c r="D177" s="255" t="s">
        <v>57</v>
      </c>
      <c r="E177" s="256">
        <v>1</v>
      </c>
      <c r="F177" s="257">
        <f>(2069.38/12)/220</f>
        <v>0.78385606060606072</v>
      </c>
      <c r="G177" s="258">
        <f>E177*F177</f>
        <v>0.78385606060606072</v>
      </c>
      <c r="I177" s="118" t="s">
        <v>469</v>
      </c>
    </row>
    <row r="178" spans="1:9">
      <c r="A178" s="253">
        <f>ORÇAMENTO!J66</f>
        <v>0</v>
      </c>
      <c r="B178" s="254" t="s">
        <v>445</v>
      </c>
      <c r="C178" s="255" t="s">
        <v>444</v>
      </c>
      <c r="D178" s="255" t="s">
        <v>57</v>
      </c>
      <c r="E178" s="257">
        <v>0.21</v>
      </c>
      <c r="F178" s="257">
        <v>2.77</v>
      </c>
      <c r="G178" s="258">
        <f>E178*F178</f>
        <v>0.58169999999999999</v>
      </c>
    </row>
    <row r="179" spans="1:9">
      <c r="A179" s="454" t="s">
        <v>48</v>
      </c>
      <c r="B179" s="455"/>
      <c r="C179" s="455"/>
      <c r="D179" s="455"/>
      <c r="E179" s="455"/>
      <c r="F179" s="455"/>
      <c r="G179" s="351">
        <v>0</v>
      </c>
      <c r="I179" s="118" t="s">
        <v>470</v>
      </c>
    </row>
    <row r="180" spans="1:9">
      <c r="A180" s="454" t="s">
        <v>58</v>
      </c>
      <c r="B180" s="455"/>
      <c r="C180" s="455"/>
      <c r="D180" s="455"/>
      <c r="E180" s="455"/>
      <c r="F180" s="455"/>
      <c r="G180" s="351">
        <f>SUM(G177:G178)</f>
        <v>1.3655560606060608</v>
      </c>
    </row>
    <row r="181" spans="1:9">
      <c r="A181" s="454" t="s">
        <v>49</v>
      </c>
      <c r="B181" s="455"/>
      <c r="C181" s="455"/>
      <c r="D181" s="455"/>
      <c r="E181" s="455"/>
      <c r="F181" s="455"/>
      <c r="G181" s="325">
        <f>SUM(G179:G180)</f>
        <v>1.3655560606060608</v>
      </c>
    </row>
    <row r="182" spans="1:9">
      <c r="A182" s="459" t="s">
        <v>51</v>
      </c>
      <c r="B182" s="460"/>
      <c r="C182" s="460"/>
      <c r="D182" s="460"/>
      <c r="E182" s="460"/>
      <c r="F182" s="326">
        <v>0.74480000000000002</v>
      </c>
      <c r="G182" s="351">
        <f>F182*G179</f>
        <v>0</v>
      </c>
    </row>
    <row r="183" spans="1:9">
      <c r="A183" s="454" t="s">
        <v>52</v>
      </c>
      <c r="B183" s="455"/>
      <c r="C183" s="455"/>
      <c r="D183" s="455"/>
      <c r="E183" s="455"/>
      <c r="F183" s="455"/>
      <c r="G183" s="351">
        <f>G182</f>
        <v>0</v>
      </c>
    </row>
    <row r="184" spans="1:9">
      <c r="A184" s="454" t="s">
        <v>60</v>
      </c>
      <c r="B184" s="455"/>
      <c r="C184" s="455"/>
      <c r="D184" s="455"/>
      <c r="E184" s="455"/>
      <c r="F184" s="455"/>
      <c r="G184" s="325">
        <f>TRUNC(G181+G183,2)</f>
        <v>1.36</v>
      </c>
    </row>
    <row r="185" spans="1:9">
      <c r="A185" s="454" t="s">
        <v>61</v>
      </c>
      <c r="B185" s="455"/>
      <c r="C185" s="455"/>
      <c r="D185" s="455"/>
      <c r="E185" s="455"/>
      <c r="F185" s="455"/>
      <c r="G185" s="351">
        <f>ORÇAMENTO!E116</f>
        <v>19200</v>
      </c>
    </row>
    <row r="186" spans="1:9">
      <c r="A186" s="454" t="s">
        <v>62</v>
      </c>
      <c r="B186" s="455"/>
      <c r="C186" s="455"/>
      <c r="D186" s="455"/>
      <c r="E186" s="455"/>
      <c r="F186" s="455"/>
      <c r="G186" s="325">
        <f>TRUNC(G184*G185,2)</f>
        <v>26112</v>
      </c>
      <c r="I186" s="118">
        <f>G196*200</f>
        <v>14674</v>
      </c>
    </row>
    <row r="187" spans="1:9">
      <c r="A187" s="403"/>
      <c r="B187" s="404"/>
      <c r="C187" s="404"/>
      <c r="D187" s="404"/>
      <c r="E187" s="404"/>
      <c r="F187" s="404"/>
      <c r="G187" s="405"/>
    </row>
    <row r="188" spans="1:9" ht="38.25">
      <c r="A188" s="162" t="str">
        <f>ORÇAMENTO!I117</f>
        <v>SINAPI</v>
      </c>
      <c r="B188" s="158" t="str">
        <f>ORÇAMENTO!B117</f>
        <v>VEICULO UTILITARIO TIPO PICK-UP A GASOLINA COM 56,8CV  (200H/MÊS)</v>
      </c>
      <c r="C188" s="159" t="s">
        <v>45</v>
      </c>
      <c r="D188" s="159" t="s">
        <v>441</v>
      </c>
      <c r="E188" s="160"/>
      <c r="F188" s="161"/>
      <c r="G188" s="163"/>
      <c r="I188" s="118">
        <f>150*30</f>
        <v>4500</v>
      </c>
    </row>
    <row r="189" spans="1:9" ht="38.25">
      <c r="A189" s="253">
        <f>ORÇAMENTO!J117</f>
        <v>7012</v>
      </c>
      <c r="B189" s="254" t="str">
        <f>B188</f>
        <v>VEICULO UTILITARIO TIPO PICK-UP A GASOLINA COM 56,8CV  (200H/MÊS)</v>
      </c>
      <c r="C189" s="255" t="s">
        <v>444</v>
      </c>
      <c r="D189" s="255" t="s">
        <v>57</v>
      </c>
      <c r="E189" s="256">
        <v>1</v>
      </c>
      <c r="F189" s="257">
        <v>73.37</v>
      </c>
      <c r="G189" s="258">
        <f>E189*F189</f>
        <v>73.37</v>
      </c>
    </row>
    <row r="190" spans="1:9">
      <c r="A190" s="331">
        <f>ORÇAMENTO!J118</f>
        <v>84151</v>
      </c>
      <c r="B190" s="320"/>
      <c r="C190" s="321" t="s">
        <v>444</v>
      </c>
      <c r="D190" s="321" t="s">
        <v>57</v>
      </c>
      <c r="E190" s="322"/>
      <c r="F190" s="323"/>
      <c r="G190" s="324">
        <f>E190*F190</f>
        <v>0</v>
      </c>
    </row>
    <row r="191" spans="1:9">
      <c r="A191" s="454" t="s">
        <v>48</v>
      </c>
      <c r="B191" s="455"/>
      <c r="C191" s="455"/>
      <c r="D191" s="455"/>
      <c r="E191" s="455"/>
      <c r="F191" s="455"/>
      <c r="G191" s="351">
        <v>0</v>
      </c>
    </row>
    <row r="192" spans="1:9">
      <c r="A192" s="454" t="s">
        <v>58</v>
      </c>
      <c r="B192" s="455"/>
      <c r="C192" s="455"/>
      <c r="D192" s="455"/>
      <c r="E192" s="455"/>
      <c r="F192" s="455"/>
      <c r="G192" s="351">
        <f>SUM(G189:G190)</f>
        <v>73.37</v>
      </c>
    </row>
    <row r="193" spans="1:13" ht="15">
      <c r="A193" s="454" t="s">
        <v>49</v>
      </c>
      <c r="B193" s="455"/>
      <c r="C193" s="455"/>
      <c r="D193" s="455"/>
      <c r="E193" s="455"/>
      <c r="F193" s="455"/>
      <c r="G193" s="325">
        <f>SUM(G191:G192)</f>
        <v>73.37</v>
      </c>
      <c r="I193" s="273" t="s">
        <v>101</v>
      </c>
      <c r="J193" s="273" t="s">
        <v>102</v>
      </c>
    </row>
    <row r="194" spans="1:13" ht="15">
      <c r="A194" s="459" t="s">
        <v>51</v>
      </c>
      <c r="B194" s="460"/>
      <c r="C194" s="460"/>
      <c r="D194" s="460"/>
      <c r="E194" s="460"/>
      <c r="F194" s="326">
        <v>0.74480000000000002</v>
      </c>
      <c r="G194" s="351">
        <f>F194*G191</f>
        <v>0</v>
      </c>
      <c r="I194" s="276">
        <f>M199</f>
        <v>793.43899999999996</v>
      </c>
      <c r="J194" s="276">
        <f>M198</f>
        <v>966.16060000000004</v>
      </c>
    </row>
    <row r="195" spans="1:13" ht="15">
      <c r="A195" s="454" t="s">
        <v>52</v>
      </c>
      <c r="B195" s="455"/>
      <c r="C195" s="455"/>
      <c r="D195" s="455"/>
      <c r="E195" s="455"/>
      <c r="F195" s="455"/>
      <c r="G195" s="351">
        <f>G194</f>
        <v>0</v>
      </c>
      <c r="I195" s="274">
        <v>18000</v>
      </c>
      <c r="J195" s="275">
        <f>(((J194-I194)/I194)*I195)+I195</f>
        <v>21918.371544630401</v>
      </c>
    </row>
    <row r="196" spans="1:13">
      <c r="A196" s="454" t="s">
        <v>60</v>
      </c>
      <c r="B196" s="455"/>
      <c r="C196" s="455"/>
      <c r="D196" s="455"/>
      <c r="E196" s="455"/>
      <c r="F196" s="455"/>
      <c r="G196" s="325">
        <f>TRUNC(G193+G195,2)</f>
        <v>73.37</v>
      </c>
    </row>
    <row r="197" spans="1:13">
      <c r="A197" s="454" t="s">
        <v>61</v>
      </c>
      <c r="B197" s="455"/>
      <c r="C197" s="455"/>
      <c r="D197" s="455"/>
      <c r="E197" s="455"/>
      <c r="F197" s="455"/>
      <c r="G197" s="351">
        <f>ORÇAMENTO!E117</f>
        <v>2400</v>
      </c>
    </row>
    <row r="198" spans="1:13">
      <c r="A198" s="454" t="s">
        <v>62</v>
      </c>
      <c r="B198" s="455"/>
      <c r="C198" s="455"/>
      <c r="D198" s="455"/>
      <c r="E198" s="455"/>
      <c r="F198" s="455"/>
      <c r="G198" s="325">
        <f>TRUNC(G196*G197,2)</f>
        <v>176088</v>
      </c>
      <c r="I198" s="283">
        <v>42095</v>
      </c>
      <c r="J198" s="284">
        <v>1.1000000000000001</v>
      </c>
      <c r="K198" s="284">
        <v>4.7191999999999998</v>
      </c>
      <c r="L198" s="284">
        <v>7.2148000000000003</v>
      </c>
      <c r="M198" s="284">
        <v>966.16060000000004</v>
      </c>
    </row>
    <row r="199" spans="1:13">
      <c r="A199" s="403"/>
      <c r="B199" s="404"/>
      <c r="C199" s="404"/>
      <c r="D199" s="404"/>
      <c r="E199" s="404"/>
      <c r="F199" s="404"/>
      <c r="G199" s="405"/>
      <c r="I199" s="283">
        <v>40817</v>
      </c>
      <c r="J199" s="284">
        <v>0.39</v>
      </c>
      <c r="K199" s="284">
        <v>4.5357000000000003</v>
      </c>
      <c r="L199" s="284">
        <v>5.8569000000000004</v>
      </c>
      <c r="M199" s="284">
        <v>793.43899999999996</v>
      </c>
    </row>
    <row r="200" spans="1:13" ht="25.5">
      <c r="A200" s="162" t="str">
        <f>ORÇAMENTO!I118</f>
        <v>SINAPI</v>
      </c>
      <c r="B200" s="158" t="str">
        <f>ORÇAMENTO!B118</f>
        <v>CAMINHAO BASCULANTE 10 M3 (200H/MÊS)</v>
      </c>
      <c r="C200" s="159" t="s">
        <v>45</v>
      </c>
      <c r="D200" s="159" t="s">
        <v>441</v>
      </c>
      <c r="E200" s="250" t="s">
        <v>442</v>
      </c>
      <c r="F200" s="251" t="s">
        <v>411</v>
      </c>
      <c r="G200" s="252" t="s">
        <v>443</v>
      </c>
    </row>
    <row r="201" spans="1:13" ht="25.5">
      <c r="A201" s="253">
        <f>ORÇAMENTO!J118</f>
        <v>84151</v>
      </c>
      <c r="B201" s="254" t="str">
        <f>B200</f>
        <v>CAMINHAO BASCULANTE 10 M3 (200H/MÊS)</v>
      </c>
      <c r="C201" s="255" t="s">
        <v>444</v>
      </c>
      <c r="D201" s="255" t="s">
        <v>57</v>
      </c>
      <c r="E201" s="256">
        <v>1</v>
      </c>
      <c r="F201" s="257">
        <v>145.11000000000001</v>
      </c>
      <c r="G201" s="258">
        <f>E201*F201</f>
        <v>145.11000000000001</v>
      </c>
    </row>
    <row r="202" spans="1:13">
      <c r="A202" s="331"/>
      <c r="B202" s="320"/>
      <c r="C202" s="321"/>
      <c r="D202" s="321"/>
      <c r="E202" s="323"/>
      <c r="F202" s="323"/>
      <c r="G202" s="324"/>
    </row>
    <row r="203" spans="1:13">
      <c r="A203" s="454" t="s">
        <v>48</v>
      </c>
      <c r="B203" s="455"/>
      <c r="C203" s="455"/>
      <c r="D203" s="455"/>
      <c r="E203" s="455"/>
      <c r="F203" s="455"/>
      <c r="G203" s="351">
        <v>0</v>
      </c>
    </row>
    <row r="204" spans="1:13">
      <c r="A204" s="454" t="s">
        <v>58</v>
      </c>
      <c r="B204" s="455"/>
      <c r="C204" s="455"/>
      <c r="D204" s="455"/>
      <c r="E204" s="455"/>
      <c r="F204" s="455"/>
      <c r="G204" s="351">
        <f>SUM(G201:G202)</f>
        <v>145.11000000000001</v>
      </c>
    </row>
    <row r="205" spans="1:13">
      <c r="A205" s="454" t="s">
        <v>49</v>
      </c>
      <c r="B205" s="455"/>
      <c r="C205" s="455"/>
      <c r="D205" s="455"/>
      <c r="E205" s="455"/>
      <c r="F205" s="455"/>
      <c r="G205" s="325">
        <f>SUM(G203:G204)</f>
        <v>145.11000000000001</v>
      </c>
    </row>
    <row r="206" spans="1:13">
      <c r="A206" s="459" t="s">
        <v>51</v>
      </c>
      <c r="B206" s="460"/>
      <c r="C206" s="460"/>
      <c r="D206" s="460"/>
      <c r="E206" s="460"/>
      <c r="F206" s="326">
        <v>0.74480000000000002</v>
      </c>
      <c r="G206" s="351">
        <f>F206*G203</f>
        <v>0</v>
      </c>
    </row>
    <row r="207" spans="1:13">
      <c r="A207" s="454" t="s">
        <v>52</v>
      </c>
      <c r="B207" s="455"/>
      <c r="C207" s="455"/>
      <c r="D207" s="455"/>
      <c r="E207" s="455"/>
      <c r="F207" s="455"/>
      <c r="G207" s="351">
        <f>G206</f>
        <v>0</v>
      </c>
    </row>
    <row r="208" spans="1:13">
      <c r="A208" s="454" t="s">
        <v>60</v>
      </c>
      <c r="B208" s="455"/>
      <c r="C208" s="455"/>
      <c r="D208" s="455"/>
      <c r="E208" s="455"/>
      <c r="F208" s="455"/>
      <c r="G208" s="325">
        <f>TRUNC(G205+G207,2)</f>
        <v>145.11000000000001</v>
      </c>
    </row>
    <row r="209" spans="1:7">
      <c r="A209" s="454" t="s">
        <v>61</v>
      </c>
      <c r="B209" s="455"/>
      <c r="C209" s="455"/>
      <c r="D209" s="455"/>
      <c r="E209" s="455"/>
      <c r="F209" s="455"/>
      <c r="G209" s="351">
        <f>ORÇAMENTO!E118</f>
        <v>799.92</v>
      </c>
    </row>
    <row r="210" spans="1:7">
      <c r="A210" s="454" t="s">
        <v>62</v>
      </c>
      <c r="B210" s="455"/>
      <c r="C210" s="455"/>
      <c r="D210" s="455"/>
      <c r="E210" s="455"/>
      <c r="F210" s="455"/>
      <c r="G210" s="325">
        <f>TRUNC(G208*G209,2)</f>
        <v>116076.39</v>
      </c>
    </row>
    <row r="211" spans="1:7">
      <c r="A211" s="403"/>
      <c r="B211" s="404"/>
      <c r="C211" s="404"/>
      <c r="D211" s="404"/>
      <c r="E211" s="404"/>
      <c r="F211" s="404"/>
      <c r="G211" s="405"/>
    </row>
    <row r="212" spans="1:7" ht="25.5">
      <c r="A212" s="162" t="e">
        <f>#REF!</f>
        <v>#REF!</v>
      </c>
      <c r="B212" s="158" t="e">
        <f>#REF!</f>
        <v>#REF!</v>
      </c>
      <c r="C212" s="159" t="s">
        <v>45</v>
      </c>
      <c r="D212" s="159" t="s">
        <v>441</v>
      </c>
      <c r="E212" s="250" t="s">
        <v>442</v>
      </c>
      <c r="F212" s="251" t="s">
        <v>411</v>
      </c>
      <c r="G212" s="252" t="s">
        <v>443</v>
      </c>
    </row>
    <row r="213" spans="1:7">
      <c r="A213" s="263" t="e">
        <f>A212</f>
        <v>#REF!</v>
      </c>
      <c r="B213" s="264" t="e">
        <f>B212</f>
        <v>#REF!</v>
      </c>
      <c r="C213" s="265" t="s">
        <v>444</v>
      </c>
      <c r="D213" s="265" t="s">
        <v>57</v>
      </c>
      <c r="E213" s="266">
        <v>1</v>
      </c>
      <c r="F213" s="267">
        <f>J195/200</f>
        <v>109.591857723152</v>
      </c>
      <c r="G213" s="268">
        <f>E213*F213</f>
        <v>109.591857723152</v>
      </c>
    </row>
    <row r="214" spans="1:7">
      <c r="A214" s="331"/>
      <c r="B214" s="320"/>
      <c r="C214" s="321"/>
      <c r="D214" s="321"/>
      <c r="E214" s="323"/>
      <c r="F214" s="323"/>
      <c r="G214" s="324"/>
    </row>
    <row r="215" spans="1:7">
      <c r="A215" s="454" t="s">
        <v>48</v>
      </c>
      <c r="B215" s="455"/>
      <c r="C215" s="455"/>
      <c r="D215" s="455"/>
      <c r="E215" s="455"/>
      <c r="F215" s="455"/>
      <c r="G215" s="351">
        <v>0</v>
      </c>
    </row>
    <row r="216" spans="1:7">
      <c r="A216" s="454" t="s">
        <v>58</v>
      </c>
      <c r="B216" s="455"/>
      <c r="C216" s="455"/>
      <c r="D216" s="455"/>
      <c r="E216" s="455"/>
      <c r="F216" s="455"/>
      <c r="G216" s="351">
        <f>SUM(G213:G214)</f>
        <v>109.591857723152</v>
      </c>
    </row>
    <row r="217" spans="1:7">
      <c r="A217" s="454" t="s">
        <v>49</v>
      </c>
      <c r="B217" s="455"/>
      <c r="C217" s="455"/>
      <c r="D217" s="455"/>
      <c r="E217" s="455"/>
      <c r="F217" s="455"/>
      <c r="G217" s="325">
        <f>SUM(G215:G216)</f>
        <v>109.591857723152</v>
      </c>
    </row>
    <row r="218" spans="1:7">
      <c r="A218" s="459" t="s">
        <v>51</v>
      </c>
      <c r="B218" s="460"/>
      <c r="C218" s="460"/>
      <c r="D218" s="460"/>
      <c r="E218" s="460"/>
      <c r="F218" s="326">
        <v>0.74480000000000002</v>
      </c>
      <c r="G218" s="351">
        <f>F218*G215</f>
        <v>0</v>
      </c>
    </row>
    <row r="219" spans="1:7">
      <c r="A219" s="454" t="s">
        <v>52</v>
      </c>
      <c r="B219" s="455"/>
      <c r="C219" s="455"/>
      <c r="D219" s="455"/>
      <c r="E219" s="455"/>
      <c r="F219" s="455"/>
      <c r="G219" s="351">
        <f>G218</f>
        <v>0</v>
      </c>
    </row>
    <row r="220" spans="1:7">
      <c r="A220" s="454" t="s">
        <v>60</v>
      </c>
      <c r="B220" s="455"/>
      <c r="C220" s="455"/>
      <c r="D220" s="455"/>
      <c r="E220" s="455"/>
      <c r="F220" s="455"/>
      <c r="G220" s="325">
        <f>TRUNC(G217+G219,2)</f>
        <v>109.59</v>
      </c>
    </row>
    <row r="221" spans="1:7">
      <c r="A221" s="454" t="s">
        <v>61</v>
      </c>
      <c r="B221" s="455"/>
      <c r="C221" s="455"/>
      <c r="D221" s="455"/>
      <c r="E221" s="455"/>
      <c r="F221" s="455"/>
      <c r="G221" s="351" t="e">
        <f>#REF!</f>
        <v>#REF!</v>
      </c>
    </row>
    <row r="222" spans="1:7">
      <c r="A222" s="454" t="s">
        <v>62</v>
      </c>
      <c r="B222" s="455"/>
      <c r="C222" s="455"/>
      <c r="D222" s="455"/>
      <c r="E222" s="455"/>
      <c r="F222" s="455"/>
      <c r="G222" s="325" t="e">
        <f>TRUNC(G220*G221,2)</f>
        <v>#REF!</v>
      </c>
    </row>
  </sheetData>
  <mergeCells count="134">
    <mergeCell ref="A220:F220"/>
    <mergeCell ref="A221:F221"/>
    <mergeCell ref="A222:F222"/>
    <mergeCell ref="A203:F203"/>
    <mergeCell ref="A204:F204"/>
    <mergeCell ref="A205:F205"/>
    <mergeCell ref="A206:E206"/>
    <mergeCell ref="A207:F207"/>
    <mergeCell ref="A208:F208"/>
    <mergeCell ref="A215:F215"/>
    <mergeCell ref="A216:F216"/>
    <mergeCell ref="A217:F217"/>
    <mergeCell ref="A218:E218"/>
    <mergeCell ref="A209:F209"/>
    <mergeCell ref="A210:F210"/>
    <mergeCell ref="A193:F193"/>
    <mergeCell ref="A194:E194"/>
    <mergeCell ref="A219:F219"/>
    <mergeCell ref="A198:F198"/>
    <mergeCell ref="A186:F186"/>
    <mergeCell ref="A191:F191"/>
    <mergeCell ref="A48:F48"/>
    <mergeCell ref="A49:F49"/>
    <mergeCell ref="A50:G50"/>
    <mergeCell ref="A53:F53"/>
    <mergeCell ref="A124:F124"/>
    <mergeCell ref="A123:F123"/>
    <mergeCell ref="A54:F54"/>
    <mergeCell ref="A55:F55"/>
    <mergeCell ref="A56:E56"/>
    <mergeCell ref="A134:E134"/>
    <mergeCell ref="A132:F132"/>
    <mergeCell ref="A108:G108"/>
    <mergeCell ref="A111:F111"/>
    <mergeCell ref="A112:F112"/>
    <mergeCell ref="A113:F113"/>
    <mergeCell ref="A167:F167"/>
    <mergeCell ref="A147:F147"/>
    <mergeCell ref="A197:F197"/>
    <mergeCell ref="A38:E38"/>
    <mergeCell ref="A57:E57"/>
    <mergeCell ref="B8:D8"/>
    <mergeCell ref="E8:F8"/>
    <mergeCell ref="B9:D9"/>
    <mergeCell ref="E9:F9"/>
    <mergeCell ref="B1:G1"/>
    <mergeCell ref="B2:G2"/>
    <mergeCell ref="B3:G3"/>
    <mergeCell ref="B4:G4"/>
    <mergeCell ref="B5:G5"/>
    <mergeCell ref="B6:G6"/>
    <mergeCell ref="A125:F125"/>
    <mergeCell ref="A126:F126"/>
    <mergeCell ref="A72:F72"/>
    <mergeCell ref="A73:F73"/>
    <mergeCell ref="A65:F65"/>
    <mergeCell ref="A66:F66"/>
    <mergeCell ref="A67:F67"/>
    <mergeCell ref="A68:F68"/>
    <mergeCell ref="A106:F106"/>
    <mergeCell ref="A93:F93"/>
    <mergeCell ref="A114:E114"/>
    <mergeCell ref="A14:F14"/>
    <mergeCell ref="A15:F15"/>
    <mergeCell ref="A16:F16"/>
    <mergeCell ref="A17:E17"/>
    <mergeCell ref="A26:F26"/>
    <mergeCell ref="A27:F27"/>
    <mergeCell ref="B7:G7"/>
    <mergeCell ref="A18:E18"/>
    <mergeCell ref="A196:F196"/>
    <mergeCell ref="A115:E115"/>
    <mergeCell ref="A46:F46"/>
    <mergeCell ref="A47:F47"/>
    <mergeCell ref="A69:G69"/>
    <mergeCell ref="A88:G88"/>
    <mergeCell ref="A91:F91"/>
    <mergeCell ref="A92:F92"/>
    <mergeCell ref="A86:F86"/>
    <mergeCell ref="A87:F87"/>
    <mergeCell ref="A28:F28"/>
    <mergeCell ref="A29:F29"/>
    <mergeCell ref="A31:G31"/>
    <mergeCell ref="A34:F34"/>
    <mergeCell ref="A35:F35"/>
    <mergeCell ref="A36:F36"/>
    <mergeCell ref="A37:E37"/>
    <mergeCell ref="A145:F145"/>
    <mergeCell ref="A133:F133"/>
    <mergeCell ref="A162:F162"/>
    <mergeCell ref="A148:F148"/>
    <mergeCell ref="A149:F149"/>
    <mergeCell ref="A74:F74"/>
    <mergeCell ref="A75:E75"/>
    <mergeCell ref="A76:E76"/>
    <mergeCell ref="A84:F84"/>
    <mergeCell ref="A85:F85"/>
    <mergeCell ref="A94:E94"/>
    <mergeCell ref="A95:E95"/>
    <mergeCell ref="A137:F137"/>
    <mergeCell ref="A138:F138"/>
    <mergeCell ref="A146:E146"/>
    <mergeCell ref="A131:F131"/>
    <mergeCell ref="A135:F135"/>
    <mergeCell ref="A136:F136"/>
    <mergeCell ref="A143:F143"/>
    <mergeCell ref="A144:F144"/>
    <mergeCell ref="A103:F103"/>
    <mergeCell ref="A104:F104"/>
    <mergeCell ref="A105:F105"/>
    <mergeCell ref="A195:F195"/>
    <mergeCell ref="A180:F180"/>
    <mergeCell ref="A181:F181"/>
    <mergeCell ref="A182:E182"/>
    <mergeCell ref="A183:F183"/>
    <mergeCell ref="A184:F184"/>
    <mergeCell ref="A150:F150"/>
    <mergeCell ref="A155:F155"/>
    <mergeCell ref="A156:F156"/>
    <mergeCell ref="A157:F157"/>
    <mergeCell ref="A158:E158"/>
    <mergeCell ref="A159:F159"/>
    <mergeCell ref="A185:F185"/>
    <mergeCell ref="A192:F192"/>
    <mergeCell ref="A168:F168"/>
    <mergeCell ref="A169:F169"/>
    <mergeCell ref="A170:E170"/>
    <mergeCell ref="A171:F171"/>
    <mergeCell ref="A172:F172"/>
    <mergeCell ref="A173:F173"/>
    <mergeCell ref="A160:F160"/>
    <mergeCell ref="A161:F161"/>
    <mergeCell ref="A174:F174"/>
    <mergeCell ref="A179:F179"/>
  </mergeCells>
  <pageMargins left="0.59055118110236227" right="0.39370078740157483" top="0.39370078740157483" bottom="0.39370078740157483" header="0" footer="0"/>
  <pageSetup paperSize="9" scale="85" fitToHeight="0" orientation="portrait" r:id="rId1"/>
  <rowBreaks count="4" manualBreakCount="4">
    <brk id="49" max="6" man="1"/>
    <brk id="107" max="6" man="1"/>
    <brk id="150" max="6" man="1"/>
    <brk id="186" max="6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1"/>
  <dimension ref="A1:F52"/>
  <sheetViews>
    <sheetView workbookViewId="0">
      <selection activeCell="H27" sqref="H27"/>
    </sheetView>
  </sheetViews>
  <sheetFormatPr defaultColWidth="17.42578125" defaultRowHeight="15"/>
  <cols>
    <col min="1" max="1" width="19.5703125" customWidth="1"/>
    <col min="2" max="2" width="29.140625" customWidth="1"/>
    <col min="3" max="3" width="6.85546875" customWidth="1"/>
    <col min="4" max="4" width="15" customWidth="1"/>
    <col min="5" max="5" width="8.42578125" customWidth="1"/>
    <col min="6" max="6" width="11" customWidth="1"/>
    <col min="7" max="255" width="9.140625" customWidth="1"/>
  </cols>
  <sheetData>
    <row r="1" spans="1:6" ht="22.5" customHeight="1">
      <c r="A1" s="555"/>
      <c r="B1" s="510" t="s">
        <v>76</v>
      </c>
      <c r="C1" s="511"/>
      <c r="D1" s="511"/>
      <c r="E1" s="511"/>
      <c r="F1" s="512"/>
    </row>
    <row r="2" spans="1:6" ht="18.75">
      <c r="A2" s="756"/>
      <c r="B2" s="704" t="s">
        <v>77</v>
      </c>
      <c r="C2" s="704"/>
      <c r="D2" s="704"/>
      <c r="E2" s="704"/>
      <c r="F2" s="705"/>
    </row>
    <row r="3" spans="1:6" ht="15.75">
      <c r="A3" s="756"/>
      <c r="B3" s="706" t="s">
        <v>78</v>
      </c>
      <c r="C3" s="706"/>
      <c r="D3" s="706"/>
      <c r="E3" s="706"/>
      <c r="F3" s="707"/>
    </row>
    <row r="4" spans="1:6" ht="12" customHeight="1">
      <c r="A4" s="756"/>
      <c r="B4" s="708" t="s">
        <v>79</v>
      </c>
      <c r="C4" s="708"/>
      <c r="D4" s="708"/>
      <c r="E4" s="708"/>
      <c r="F4" s="709"/>
    </row>
    <row r="5" spans="1:6" ht="12.75" customHeight="1">
      <c r="A5" s="774"/>
      <c r="B5" s="710" t="s">
        <v>471</v>
      </c>
      <c r="C5" s="710"/>
      <c r="D5" s="710"/>
      <c r="E5" s="710"/>
      <c r="F5" s="711"/>
    </row>
    <row r="6" spans="1:6">
      <c r="A6" s="135"/>
      <c r="B6" s="708" t="s">
        <v>82</v>
      </c>
      <c r="C6" s="708"/>
      <c r="D6" s="708"/>
      <c r="E6" s="708"/>
      <c r="F6" s="709"/>
    </row>
    <row r="7" spans="1:6" ht="8.25" customHeight="1">
      <c r="A7" s="571"/>
      <c r="B7" s="712">
        <f>ORÇAMENTO!D7</f>
        <v>0</v>
      </c>
      <c r="C7" s="712"/>
      <c r="D7" s="712"/>
      <c r="E7" s="712"/>
      <c r="F7" s="713"/>
    </row>
    <row r="8" spans="1:6" ht="7.5" customHeight="1">
      <c r="A8" s="573"/>
      <c r="B8" s="712"/>
      <c r="C8" s="712"/>
      <c r="D8" s="712"/>
      <c r="E8" s="712"/>
      <c r="F8" s="713"/>
    </row>
    <row r="9" spans="1:6" ht="8.25" customHeight="1">
      <c r="A9" s="573"/>
      <c r="B9" s="712"/>
      <c r="C9" s="712"/>
      <c r="D9" s="712"/>
      <c r="E9" s="712"/>
      <c r="F9" s="713"/>
    </row>
    <row r="10" spans="1:6" ht="7.5" customHeight="1">
      <c r="A10" s="573"/>
      <c r="B10" s="712"/>
      <c r="C10" s="712"/>
      <c r="D10" s="712"/>
      <c r="E10" s="712"/>
      <c r="F10" s="713"/>
    </row>
    <row r="11" spans="1:6" ht="47.25" customHeight="1">
      <c r="A11" s="716"/>
      <c r="B11" s="714"/>
      <c r="C11" s="714"/>
      <c r="D11" s="714"/>
      <c r="E11" s="714"/>
      <c r="F11" s="715"/>
    </row>
    <row r="12" spans="1:6" ht="12" customHeight="1">
      <c r="A12" s="135"/>
      <c r="B12" s="698" t="s">
        <v>85</v>
      </c>
      <c r="C12" s="698"/>
      <c r="D12" s="699" t="s">
        <v>86</v>
      </c>
      <c r="E12" s="700"/>
      <c r="F12" s="112" t="s">
        <v>87</v>
      </c>
    </row>
    <row r="13" spans="1:6" ht="15" customHeight="1" thickBot="1">
      <c r="A13" s="413"/>
      <c r="B13" s="701">
        <f>ORÇAMENTO!D9</f>
        <v>0</v>
      </c>
      <c r="C13" s="701"/>
      <c r="D13" s="702">
        <f>ORÇAMENTO!G9</f>
        <v>42138</v>
      </c>
      <c r="E13" s="703"/>
      <c r="F13" s="113">
        <f>ORÇAMENTO!I9</f>
        <v>0</v>
      </c>
    </row>
    <row r="14" spans="1:6" ht="15.75" customHeight="1">
      <c r="A14" s="126"/>
      <c r="B14" s="127"/>
      <c r="C14" s="127"/>
      <c r="D14" s="128"/>
      <c r="E14" s="128"/>
      <c r="F14" s="129"/>
    </row>
    <row r="15" spans="1:6">
      <c r="A15" s="119">
        <v>1</v>
      </c>
      <c r="B15" s="719" t="s">
        <v>472</v>
      </c>
      <c r="C15" s="719"/>
      <c r="D15" s="719"/>
      <c r="E15" s="719"/>
      <c r="F15" s="720"/>
    </row>
    <row r="16" spans="1:6" ht="25.5">
      <c r="A16" s="120" t="s">
        <v>473</v>
      </c>
      <c r="B16" s="121" t="s">
        <v>474</v>
      </c>
      <c r="C16" s="122" t="s">
        <v>88</v>
      </c>
      <c r="D16" s="122" t="s">
        <v>475</v>
      </c>
      <c r="E16" s="122" t="s">
        <v>430</v>
      </c>
      <c r="F16" s="130" t="s">
        <v>13</v>
      </c>
    </row>
    <row r="17" spans="1:6">
      <c r="A17" s="331"/>
      <c r="B17" s="320"/>
      <c r="C17" s="321"/>
      <c r="D17" s="322"/>
      <c r="E17" s="123"/>
      <c r="F17" s="131"/>
    </row>
    <row r="18" spans="1:6">
      <c r="A18" s="331"/>
      <c r="B18" s="320"/>
      <c r="C18" s="321"/>
      <c r="D18" s="322"/>
      <c r="E18" s="123"/>
      <c r="F18" s="131"/>
    </row>
    <row r="19" spans="1:6">
      <c r="A19" s="331"/>
      <c r="B19" s="320"/>
      <c r="C19" s="321"/>
      <c r="D19" s="322"/>
      <c r="E19" s="123"/>
      <c r="F19" s="131"/>
    </row>
    <row r="20" spans="1:6">
      <c r="A20" s="331"/>
      <c r="B20" s="320"/>
      <c r="C20" s="321"/>
      <c r="D20" s="322"/>
      <c r="E20" s="123"/>
      <c r="F20" s="131"/>
    </row>
    <row r="21" spans="1:6">
      <c r="A21" s="331"/>
      <c r="B21" s="320"/>
      <c r="C21" s="321"/>
      <c r="D21" s="322"/>
      <c r="E21" s="123"/>
      <c r="F21" s="131"/>
    </row>
    <row r="22" spans="1:6">
      <c r="A22" s="331"/>
      <c r="B22" s="320"/>
      <c r="C22" s="321"/>
      <c r="D22" s="322"/>
      <c r="E22" s="123"/>
      <c r="F22" s="131"/>
    </row>
    <row r="23" spans="1:6">
      <c r="A23" s="331"/>
      <c r="B23" s="320"/>
      <c r="C23" s="321"/>
      <c r="D23" s="322"/>
      <c r="E23" s="123"/>
      <c r="F23" s="131"/>
    </row>
    <row r="24" spans="1:6">
      <c r="A24" s="331"/>
      <c r="B24" s="320"/>
      <c r="C24" s="321"/>
      <c r="D24" s="322"/>
      <c r="E24" s="123"/>
      <c r="F24" s="131"/>
    </row>
    <row r="25" spans="1:6">
      <c r="A25" s="331"/>
      <c r="B25" s="320"/>
      <c r="C25" s="321"/>
      <c r="D25" s="322"/>
      <c r="E25" s="123"/>
      <c r="F25" s="131"/>
    </row>
    <row r="26" spans="1:6">
      <c r="A26" s="331"/>
      <c r="B26" s="320"/>
      <c r="C26" s="321"/>
      <c r="D26" s="322"/>
      <c r="E26" s="123"/>
      <c r="F26" s="131"/>
    </row>
    <row r="27" spans="1:6">
      <c r="A27" s="331"/>
      <c r="B27" s="320"/>
      <c r="C27" s="321"/>
      <c r="D27" s="322"/>
      <c r="E27" s="123"/>
      <c r="F27" s="131"/>
    </row>
    <row r="28" spans="1:6">
      <c r="A28" s="331"/>
      <c r="B28" s="320"/>
      <c r="C28" s="321"/>
      <c r="D28" s="322"/>
      <c r="E28" s="123"/>
      <c r="F28" s="131"/>
    </row>
    <row r="29" spans="1:6">
      <c r="A29" s="331"/>
      <c r="B29" s="320"/>
      <c r="C29" s="321"/>
      <c r="D29" s="322"/>
      <c r="E29" s="123"/>
      <c r="F29" s="131"/>
    </row>
    <row r="30" spans="1:6">
      <c r="A30" s="331"/>
      <c r="B30" s="320"/>
      <c r="C30" s="321"/>
      <c r="D30" s="322"/>
      <c r="E30" s="123"/>
      <c r="F30" s="131"/>
    </row>
    <row r="31" spans="1:6">
      <c r="A31" s="331"/>
      <c r="B31" s="320"/>
      <c r="C31" s="321"/>
      <c r="D31" s="322"/>
      <c r="E31" s="123"/>
      <c r="F31" s="131"/>
    </row>
    <row r="32" spans="1:6">
      <c r="A32" s="331"/>
      <c r="B32" s="320"/>
      <c r="C32" s="321"/>
      <c r="D32" s="322"/>
      <c r="E32" s="123"/>
      <c r="F32" s="131"/>
    </row>
    <row r="33" spans="1:6">
      <c r="A33" s="331"/>
      <c r="B33" s="320"/>
      <c r="C33" s="321"/>
      <c r="D33" s="322"/>
      <c r="E33" s="123"/>
      <c r="F33" s="131"/>
    </row>
    <row r="34" spans="1:6">
      <c r="A34" s="331"/>
      <c r="B34" s="320"/>
      <c r="C34" s="321"/>
      <c r="D34" s="322"/>
      <c r="E34" s="123"/>
      <c r="F34" s="131"/>
    </row>
    <row r="35" spans="1:6">
      <c r="A35" s="331"/>
      <c r="B35" s="320"/>
      <c r="C35" s="321"/>
      <c r="D35" s="322"/>
      <c r="E35" s="123"/>
      <c r="F35" s="131"/>
    </row>
    <row r="36" spans="1:6">
      <c r="A36" s="331"/>
      <c r="B36" s="320"/>
      <c r="C36" s="321"/>
      <c r="D36" s="322"/>
      <c r="E36" s="123"/>
      <c r="F36" s="131"/>
    </row>
    <row r="37" spans="1:6">
      <c r="A37" s="331"/>
      <c r="B37" s="320"/>
      <c r="C37" s="321"/>
      <c r="D37" s="322"/>
      <c r="E37" s="123"/>
      <c r="F37" s="131"/>
    </row>
    <row r="38" spans="1:6">
      <c r="A38" s="331"/>
      <c r="B38" s="320"/>
      <c r="C38" s="321"/>
      <c r="D38" s="322"/>
      <c r="E38" s="123"/>
      <c r="F38" s="131"/>
    </row>
    <row r="39" spans="1:6">
      <c r="A39" s="331"/>
      <c r="B39" s="320"/>
      <c r="C39" s="321"/>
      <c r="D39" s="322"/>
      <c r="E39" s="123"/>
      <c r="F39" s="131"/>
    </row>
    <row r="40" spans="1:6">
      <c r="A40" s="331"/>
      <c r="B40" s="320"/>
      <c r="C40" s="321"/>
      <c r="D40" s="322"/>
      <c r="E40" s="123"/>
      <c r="F40" s="131"/>
    </row>
    <row r="41" spans="1:6">
      <c r="A41" s="331"/>
      <c r="B41" s="320"/>
      <c r="C41" s="321"/>
      <c r="D41" s="322"/>
      <c r="E41" s="123"/>
      <c r="F41" s="131"/>
    </row>
    <row r="42" spans="1:6">
      <c r="A42" s="331"/>
      <c r="B42" s="320"/>
      <c r="C42" s="321"/>
      <c r="D42" s="322"/>
      <c r="E42" s="123"/>
      <c r="F42" s="131"/>
    </row>
    <row r="43" spans="1:6">
      <c r="A43" s="331"/>
      <c r="B43" s="320"/>
      <c r="C43" s="321"/>
      <c r="D43" s="322"/>
      <c r="E43" s="123"/>
      <c r="F43" s="131"/>
    </row>
    <row r="44" spans="1:6">
      <c r="A44" s="331"/>
      <c r="B44" s="320"/>
      <c r="C44" s="321"/>
      <c r="D44" s="322"/>
      <c r="E44" s="123"/>
      <c r="F44" s="131"/>
    </row>
    <row r="45" spans="1:6">
      <c r="A45" s="331"/>
      <c r="B45" s="320"/>
      <c r="C45" s="321"/>
      <c r="D45" s="322"/>
      <c r="E45" s="123"/>
      <c r="F45" s="131"/>
    </row>
    <row r="46" spans="1:6">
      <c r="A46" s="454" t="s">
        <v>48</v>
      </c>
      <c r="B46" s="455"/>
      <c r="C46" s="455"/>
      <c r="D46" s="455"/>
      <c r="E46" s="455"/>
      <c r="F46" s="132"/>
    </row>
    <row r="47" spans="1:6">
      <c r="A47" s="454" t="s">
        <v>58</v>
      </c>
      <c r="B47" s="455"/>
      <c r="C47" s="455"/>
      <c r="D47" s="455"/>
      <c r="E47" s="455"/>
      <c r="F47" s="132"/>
    </row>
    <row r="48" spans="1:6">
      <c r="A48" s="454" t="s">
        <v>49</v>
      </c>
      <c r="B48" s="455"/>
      <c r="C48" s="455"/>
      <c r="D48" s="455"/>
      <c r="E48" s="455"/>
      <c r="F48" s="133"/>
    </row>
    <row r="49" spans="1:6">
      <c r="A49" s="454" t="s">
        <v>52</v>
      </c>
      <c r="B49" s="455"/>
      <c r="C49" s="455"/>
      <c r="D49" s="455"/>
      <c r="E49" s="455"/>
      <c r="F49" s="132"/>
    </row>
    <row r="50" spans="1:6">
      <c r="A50" s="454" t="s">
        <v>60</v>
      </c>
      <c r="B50" s="455"/>
      <c r="C50" s="455"/>
      <c r="D50" s="455"/>
      <c r="E50" s="455"/>
      <c r="F50" s="133"/>
    </row>
    <row r="51" spans="1:6">
      <c r="A51" s="454" t="s">
        <v>61</v>
      </c>
      <c r="B51" s="455"/>
      <c r="C51" s="455"/>
      <c r="D51" s="455"/>
      <c r="E51" s="455"/>
      <c r="F51" s="132"/>
    </row>
    <row r="52" spans="1:6" ht="15.75" thickBot="1">
      <c r="A52" s="717" t="s">
        <v>62</v>
      </c>
      <c r="B52" s="718"/>
      <c r="C52" s="718"/>
      <c r="D52" s="718"/>
      <c r="E52" s="718"/>
      <c r="F52" s="134"/>
    </row>
  </sheetData>
  <mergeCells count="21">
    <mergeCell ref="A52:E52"/>
    <mergeCell ref="B13:C13"/>
    <mergeCell ref="D13:E13"/>
    <mergeCell ref="B15:F15"/>
    <mergeCell ref="A46:E46"/>
    <mergeCell ref="A47:E47"/>
    <mergeCell ref="A51:E51"/>
    <mergeCell ref="A48:E48"/>
    <mergeCell ref="B7:F11"/>
    <mergeCell ref="A50:E50"/>
    <mergeCell ref="B3:F3"/>
    <mergeCell ref="B4:F4"/>
    <mergeCell ref="B5:F5"/>
    <mergeCell ref="A49:E49"/>
    <mergeCell ref="A7:A11"/>
    <mergeCell ref="D12:E12"/>
    <mergeCell ref="A1:A5"/>
    <mergeCell ref="B1:F1"/>
    <mergeCell ref="B2:F2"/>
    <mergeCell ref="B12:C12"/>
    <mergeCell ref="B6:F6"/>
  </mergeCells>
  <pageMargins left="0.78740157480314965" right="0.39370078740157483" top="0.39370078740157483" bottom="0.39370078740157483" header="0" footer="0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2"/>
  <dimension ref="B3:G7"/>
  <sheetViews>
    <sheetView workbookViewId="0">
      <selection activeCell="G7" sqref="G7"/>
    </sheetView>
  </sheetViews>
  <sheetFormatPr defaultRowHeight="15"/>
  <cols>
    <col min="1" max="1" width="15.5703125" customWidth="1"/>
    <col min="2" max="2" width="32.42578125" customWidth="1"/>
    <col min="7" max="7" width="10" customWidth="1"/>
  </cols>
  <sheetData>
    <row r="3" spans="2:7">
      <c r="B3" t="s">
        <v>476</v>
      </c>
      <c r="E3" t="s">
        <v>477</v>
      </c>
      <c r="F3" t="s">
        <v>478</v>
      </c>
      <c r="G3" t="s">
        <v>479</v>
      </c>
    </row>
    <row r="4" spans="2:7">
      <c r="B4" t="s">
        <v>480</v>
      </c>
      <c r="C4">
        <v>1.9</v>
      </c>
      <c r="D4">
        <v>1.1000000000000001</v>
      </c>
      <c r="E4">
        <v>1.4</v>
      </c>
      <c r="G4">
        <f>C4*D4*E4</f>
        <v>2.9259999999999997</v>
      </c>
    </row>
    <row r="5" spans="2:7">
      <c r="B5" t="s">
        <v>481</v>
      </c>
      <c r="E5">
        <v>5</v>
      </c>
      <c r="F5">
        <v>1.54</v>
      </c>
      <c r="G5">
        <f>E5*F5</f>
        <v>7.7</v>
      </c>
    </row>
    <row r="7" spans="2:7">
      <c r="B7" s="721" t="s">
        <v>13</v>
      </c>
      <c r="C7" s="721"/>
      <c r="D7" s="721"/>
      <c r="E7" s="721"/>
      <c r="F7" s="721"/>
      <c r="G7">
        <f>SUM(G4:G5)</f>
        <v>10.625999999999999</v>
      </c>
    </row>
  </sheetData>
  <mergeCells count="1">
    <mergeCell ref="B7:F7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13">
    <tabColor rgb="FF00B050"/>
    <pageSetUpPr fitToPage="1"/>
  </sheetPr>
  <dimension ref="A1:D43"/>
  <sheetViews>
    <sheetView view="pageBreakPreview" zoomScale="115" zoomScaleNormal="100" zoomScaleSheetLayoutView="115" zoomScalePageLayoutView="120" workbookViewId="0">
      <selection activeCell="E13" sqref="E13"/>
    </sheetView>
  </sheetViews>
  <sheetFormatPr defaultColWidth="16.7109375" defaultRowHeight="12.75"/>
  <cols>
    <col min="1" max="1" width="14.5703125" style="118" customWidth="1"/>
    <col min="2" max="2" width="35.7109375" style="118" customWidth="1"/>
    <col min="3" max="3" width="15.85546875" style="118" customWidth="1"/>
    <col min="4" max="4" width="17.140625" style="125" customWidth="1"/>
    <col min="5" max="5" width="25.7109375" style="118" customWidth="1"/>
    <col min="6" max="7" width="8.85546875" style="118" customWidth="1"/>
    <col min="8" max="8" width="11.42578125" style="118" bestFit="1" customWidth="1"/>
    <col min="9" max="9" width="11.7109375" style="118" bestFit="1" customWidth="1"/>
    <col min="10" max="249" width="8.85546875" style="118" customWidth="1"/>
    <col min="250" max="250" width="19.5703125" style="118" customWidth="1"/>
    <col min="251" max="251" width="36.5703125" style="118" bestFit="1" customWidth="1"/>
    <col min="252" max="252" width="9.28515625" style="118" customWidth="1"/>
    <col min="253" max="253" width="9.5703125" style="118" customWidth="1"/>
    <col min="254" max="254" width="13.28515625" style="118" customWidth="1"/>
    <col min="255" max="255" width="13" style="118" customWidth="1"/>
    <col min="256" max="16384" width="16.7109375" style="118"/>
  </cols>
  <sheetData>
    <row r="1" spans="1:4" ht="63" customHeight="1">
      <c r="A1" s="456"/>
      <c r="B1" s="457"/>
      <c r="C1" s="457"/>
      <c r="D1" s="458"/>
    </row>
    <row r="2" spans="1:4" ht="15.75">
      <c r="A2" s="441" t="s">
        <v>0</v>
      </c>
      <c r="B2" s="442"/>
      <c r="C2" s="442"/>
      <c r="D2" s="443"/>
    </row>
    <row r="3" spans="1:4" ht="15.75">
      <c r="A3" s="441" t="s">
        <v>1</v>
      </c>
      <c r="B3" s="442"/>
      <c r="C3" s="442"/>
      <c r="D3" s="443"/>
    </row>
    <row r="4" spans="1:4" ht="16.5" thickBot="1">
      <c r="A4" s="444" t="s">
        <v>2</v>
      </c>
      <c r="B4" s="445"/>
      <c r="C4" s="445"/>
      <c r="D4" s="446"/>
    </row>
    <row r="5" spans="1:4" ht="16.5" thickBot="1">
      <c r="A5" s="444" t="s">
        <v>482</v>
      </c>
      <c r="B5" s="445"/>
      <c r="C5" s="445"/>
      <c r="D5" s="446"/>
    </row>
    <row r="6" spans="1:4" ht="9.6" customHeight="1" thickBot="1">
      <c r="A6" s="114"/>
      <c r="B6" s="115"/>
      <c r="C6" s="115"/>
      <c r="D6" s="117"/>
    </row>
    <row r="7" spans="1:4" ht="20.45" customHeight="1" thickBot="1">
      <c r="A7" s="166" t="s">
        <v>36</v>
      </c>
      <c r="B7" s="596" t="s">
        <v>37</v>
      </c>
      <c r="C7" s="597"/>
      <c r="D7" s="167" t="s">
        <v>361</v>
      </c>
    </row>
    <row r="8" spans="1:4" ht="15.75">
      <c r="A8" s="168" t="s">
        <v>362</v>
      </c>
      <c r="B8" s="169"/>
      <c r="C8" s="169"/>
      <c r="D8" s="170"/>
    </row>
    <row r="9" spans="1:4" ht="15.75">
      <c r="A9" s="171" t="s">
        <v>363</v>
      </c>
      <c r="B9" s="172" t="s">
        <v>364</v>
      </c>
      <c r="C9" s="173"/>
      <c r="D9" s="339">
        <v>0.2</v>
      </c>
    </row>
    <row r="10" spans="1:4" ht="14.25" customHeight="1">
      <c r="A10" s="171" t="s">
        <v>365</v>
      </c>
      <c r="B10" s="176" t="s">
        <v>366</v>
      </c>
      <c r="C10" s="177"/>
      <c r="D10" s="340">
        <v>1.4999999999999999E-2</v>
      </c>
    </row>
    <row r="11" spans="1:4" ht="14.25" customHeight="1">
      <c r="A11" s="171" t="s">
        <v>367</v>
      </c>
      <c r="B11" s="176" t="s">
        <v>368</v>
      </c>
      <c r="C11" s="177"/>
      <c r="D11" s="340">
        <v>0.01</v>
      </c>
    </row>
    <row r="12" spans="1:4" ht="14.25" customHeight="1">
      <c r="A12" s="171" t="s">
        <v>369</v>
      </c>
      <c r="B12" s="176" t="s">
        <v>370</v>
      </c>
      <c r="C12" s="177"/>
      <c r="D12" s="340">
        <v>2E-3</v>
      </c>
    </row>
    <row r="13" spans="1:4" ht="14.25" customHeight="1">
      <c r="A13" s="171" t="s">
        <v>371</v>
      </c>
      <c r="B13" s="176" t="s">
        <v>372</v>
      </c>
      <c r="C13" s="177"/>
      <c r="D13" s="340">
        <v>6.0000000000000001E-3</v>
      </c>
    </row>
    <row r="14" spans="1:4" ht="14.25" customHeight="1">
      <c r="A14" s="171" t="s">
        <v>373</v>
      </c>
      <c r="B14" s="176" t="s">
        <v>374</v>
      </c>
      <c r="C14" s="177"/>
      <c r="D14" s="340">
        <v>2.5000000000000001E-2</v>
      </c>
    </row>
    <row r="15" spans="1:4" ht="14.25" customHeight="1">
      <c r="A15" s="171" t="s">
        <v>375</v>
      </c>
      <c r="B15" s="176" t="s">
        <v>376</v>
      </c>
      <c r="C15" s="177"/>
      <c r="D15" s="340">
        <v>0.03</v>
      </c>
    </row>
    <row r="16" spans="1:4" ht="14.25" customHeight="1">
      <c r="A16" s="171" t="s">
        <v>377</v>
      </c>
      <c r="B16" s="176" t="s">
        <v>378</v>
      </c>
      <c r="C16" s="177"/>
      <c r="D16" s="340">
        <v>0.08</v>
      </c>
    </row>
    <row r="17" spans="1:4" ht="14.25" customHeight="1">
      <c r="A17" s="171"/>
      <c r="B17" s="179" t="s">
        <v>381</v>
      </c>
      <c r="C17" s="180"/>
      <c r="D17" s="341">
        <f>SUM(D9:D16)</f>
        <v>0.36800000000000005</v>
      </c>
    </row>
    <row r="18" spans="1:4" ht="14.25" customHeight="1">
      <c r="A18" s="171"/>
      <c r="B18" s="176"/>
      <c r="C18" s="177"/>
      <c r="D18" s="342"/>
    </row>
    <row r="19" spans="1:4" ht="13.5" customHeight="1">
      <c r="A19" s="183" t="s">
        <v>382</v>
      </c>
      <c r="B19" s="184"/>
      <c r="C19" s="184"/>
      <c r="D19" s="185"/>
    </row>
    <row r="20" spans="1:4" ht="15.75">
      <c r="A20" s="171" t="s">
        <v>383</v>
      </c>
      <c r="B20" s="176" t="s">
        <v>483</v>
      </c>
      <c r="C20" s="177"/>
      <c r="D20" s="343">
        <v>6.8999999999999999E-3</v>
      </c>
    </row>
    <row r="21" spans="1:4" ht="15.75">
      <c r="A21" s="171" t="s">
        <v>385</v>
      </c>
      <c r="B21" s="176" t="s">
        <v>390</v>
      </c>
      <c r="C21" s="177"/>
      <c r="D21" s="343">
        <v>8.3299999999999999E-2</v>
      </c>
    </row>
    <row r="22" spans="1:4" ht="13.5" customHeight="1">
      <c r="A22" s="171" t="s">
        <v>387</v>
      </c>
      <c r="B22" s="176" t="s">
        <v>392</v>
      </c>
      <c r="C22" s="177"/>
      <c r="D22" s="343">
        <v>5.9999999999999995E-4</v>
      </c>
    </row>
    <row r="23" spans="1:4" ht="13.5" customHeight="1">
      <c r="A23" s="171" t="s">
        <v>389</v>
      </c>
      <c r="B23" s="176" t="s">
        <v>484</v>
      </c>
      <c r="C23" s="177"/>
      <c r="D23" s="343">
        <v>5.5999999999999999E-3</v>
      </c>
    </row>
    <row r="24" spans="1:4" ht="13.5" customHeight="1">
      <c r="A24" s="171" t="s">
        <v>391</v>
      </c>
      <c r="B24" s="176" t="s">
        <v>485</v>
      </c>
      <c r="C24" s="177"/>
      <c r="D24" s="343">
        <v>8.9999999999999998E-4</v>
      </c>
    </row>
    <row r="25" spans="1:4" ht="13.5" customHeight="1">
      <c r="A25" s="171" t="s">
        <v>393</v>
      </c>
      <c r="B25" s="176" t="s">
        <v>486</v>
      </c>
      <c r="C25" s="177"/>
      <c r="D25" s="343">
        <v>8.0199999999999994E-2</v>
      </c>
    </row>
    <row r="26" spans="1:4" ht="13.5" customHeight="1">
      <c r="A26" s="171" t="s">
        <v>395</v>
      </c>
      <c r="B26" s="176" t="s">
        <v>487</v>
      </c>
      <c r="C26" s="177"/>
      <c r="D26" s="343">
        <v>2.0000000000000001E-4</v>
      </c>
    </row>
    <row r="27" spans="1:4" ht="13.5" customHeight="1">
      <c r="A27" s="171"/>
      <c r="B27" s="179" t="s">
        <v>397</v>
      </c>
      <c r="C27" s="180"/>
      <c r="D27" s="344">
        <f>SUM(D20:D26)</f>
        <v>0.1777</v>
      </c>
    </row>
    <row r="28" spans="1:4" ht="13.5" customHeight="1">
      <c r="A28" s="171"/>
      <c r="B28" s="176"/>
      <c r="C28" s="177"/>
      <c r="D28" s="175"/>
    </row>
    <row r="29" spans="1:4" ht="13.5" customHeight="1">
      <c r="A29" s="183" t="s">
        <v>398</v>
      </c>
      <c r="B29" s="184"/>
      <c r="C29" s="184"/>
      <c r="D29" s="185"/>
    </row>
    <row r="30" spans="1:4" ht="13.5" customHeight="1">
      <c r="A30" s="171" t="s">
        <v>399</v>
      </c>
      <c r="B30" s="176" t="s">
        <v>488</v>
      </c>
      <c r="C30" s="177"/>
      <c r="D30" s="345">
        <v>5.3199999999999997E-2</v>
      </c>
    </row>
    <row r="31" spans="1:4" ht="13.5" customHeight="1">
      <c r="A31" s="171" t="s">
        <v>401</v>
      </c>
      <c r="B31" s="176" t="s">
        <v>489</v>
      </c>
      <c r="C31" s="177"/>
      <c r="D31" s="346">
        <v>1.2999999999999999E-3</v>
      </c>
    </row>
    <row r="32" spans="1:4" ht="13.5" customHeight="1">
      <c r="A32" s="171" t="s">
        <v>490</v>
      </c>
      <c r="B32" s="176" t="s">
        <v>491</v>
      </c>
      <c r="C32" s="177"/>
      <c r="D32" s="346">
        <v>2.98E-2</v>
      </c>
    </row>
    <row r="33" spans="1:4" ht="13.5" customHeight="1">
      <c r="A33" s="171" t="s">
        <v>492</v>
      </c>
      <c r="B33" s="176" t="s">
        <v>493</v>
      </c>
      <c r="C33" s="177"/>
      <c r="D33" s="346">
        <v>4.02E-2</v>
      </c>
    </row>
    <row r="34" spans="1:4" ht="13.5" customHeight="1">
      <c r="A34" s="171" t="s">
        <v>494</v>
      </c>
      <c r="B34" s="176" t="s">
        <v>495</v>
      </c>
      <c r="C34" s="177"/>
      <c r="D34" s="346">
        <v>4.4999999999999997E-3</v>
      </c>
    </row>
    <row r="35" spans="1:4" ht="13.5" customHeight="1">
      <c r="A35" s="414"/>
      <c r="B35" s="176"/>
      <c r="C35" s="177"/>
      <c r="D35" s="346"/>
    </row>
    <row r="36" spans="1:4" ht="13.5" customHeight="1">
      <c r="A36" s="171"/>
      <c r="B36" s="179" t="s">
        <v>403</v>
      </c>
      <c r="C36" s="180"/>
      <c r="D36" s="347">
        <f>SUM(D30:D35)</f>
        <v>0.129</v>
      </c>
    </row>
    <row r="37" spans="1:4" ht="13.5" customHeight="1">
      <c r="A37" s="171"/>
      <c r="B37" s="176"/>
      <c r="C37" s="177"/>
      <c r="D37" s="175"/>
    </row>
    <row r="38" spans="1:4" ht="13.5" customHeight="1">
      <c r="A38" s="183" t="s">
        <v>404</v>
      </c>
      <c r="B38" s="184"/>
      <c r="C38" s="184"/>
      <c r="D38" s="185"/>
    </row>
    <row r="39" spans="1:4" ht="13.5" customHeight="1">
      <c r="A39" s="171" t="s">
        <v>405</v>
      </c>
      <c r="B39" s="176" t="s">
        <v>496</v>
      </c>
      <c r="C39" s="177"/>
      <c r="D39" s="345">
        <v>6.54E-2</v>
      </c>
    </row>
    <row r="40" spans="1:4" ht="13.5" customHeight="1">
      <c r="A40" s="171" t="s">
        <v>497</v>
      </c>
      <c r="B40" s="722" t="s">
        <v>498</v>
      </c>
      <c r="C40" s="723"/>
      <c r="D40" s="346">
        <v>4.7000000000000002E-3</v>
      </c>
    </row>
    <row r="41" spans="1:4" ht="13.5" customHeight="1">
      <c r="A41" s="171"/>
      <c r="B41" s="179" t="s">
        <v>407</v>
      </c>
      <c r="C41" s="180"/>
      <c r="D41" s="347">
        <f>SUM(D39:D40)</f>
        <v>7.0099999999999996E-2</v>
      </c>
    </row>
    <row r="42" spans="1:4" ht="13.5" customHeight="1" thickBot="1">
      <c r="A42" s="186"/>
      <c r="B42" s="187"/>
      <c r="C42" s="188"/>
      <c r="D42" s="182"/>
    </row>
    <row r="43" spans="1:4" ht="19.149999999999999" customHeight="1" thickBot="1">
      <c r="A43" s="598" t="s">
        <v>408</v>
      </c>
      <c r="B43" s="599"/>
      <c r="C43" s="599"/>
      <c r="D43" s="348">
        <f>D17+D27+D36+D41</f>
        <v>0.74480000000000013</v>
      </c>
    </row>
  </sheetData>
  <mergeCells count="8">
    <mergeCell ref="B40:C40"/>
    <mergeCell ref="A43:C43"/>
    <mergeCell ref="A1:D1"/>
    <mergeCell ref="A2:D2"/>
    <mergeCell ref="A3:D3"/>
    <mergeCell ref="A4:D4"/>
    <mergeCell ref="A5:D5"/>
    <mergeCell ref="B7:C7"/>
  </mergeCells>
  <pageMargins left="0.98425196850393704" right="0.39370078740157483" top="1.1811023622047245" bottom="0.39370078740157483" header="0" footer="0"/>
  <pageSetup paperSize="9" fitToHeight="0" orientation="portrait" horizontalDpi="4294967295" verticalDpi="4294967295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14"/>
  <dimension ref="A1:F56"/>
  <sheetViews>
    <sheetView view="pageBreakPreview" zoomScale="118" zoomScaleNormal="100" zoomScaleSheetLayoutView="118" workbookViewId="0">
      <selection activeCell="A2" sqref="A2:F2"/>
    </sheetView>
  </sheetViews>
  <sheetFormatPr defaultRowHeight="15"/>
  <cols>
    <col min="1" max="1" width="46.5703125" customWidth="1"/>
    <col min="2" max="2" width="14.140625" customWidth="1"/>
    <col min="3" max="3" width="16.5703125" customWidth="1"/>
    <col min="4" max="4" width="11.85546875" customWidth="1"/>
    <col min="5" max="5" width="10.7109375" customWidth="1"/>
    <col min="6" max="6" width="12.7109375" customWidth="1"/>
  </cols>
  <sheetData>
    <row r="1" spans="1:6" ht="48.6" customHeight="1">
      <c r="A1" s="470"/>
      <c r="B1" s="471"/>
      <c r="C1" s="471"/>
      <c r="D1" s="471"/>
      <c r="E1" s="471"/>
      <c r="F1" s="472"/>
    </row>
    <row r="2" spans="1:6" ht="15.75">
      <c r="A2" s="441" t="s">
        <v>0</v>
      </c>
      <c r="B2" s="442"/>
      <c r="C2" s="442"/>
      <c r="D2" s="442"/>
      <c r="E2" s="442"/>
      <c r="F2" s="443"/>
    </row>
    <row r="3" spans="1:6" ht="15.75">
      <c r="A3" s="441" t="s">
        <v>1</v>
      </c>
      <c r="B3" s="442"/>
      <c r="C3" s="442"/>
      <c r="D3" s="442"/>
      <c r="E3" s="442"/>
      <c r="F3" s="443"/>
    </row>
    <row r="4" spans="1:6" ht="16.5" thickBot="1">
      <c r="A4" s="441" t="s">
        <v>2</v>
      </c>
      <c r="B4" s="442"/>
      <c r="C4" s="442"/>
      <c r="D4" s="442"/>
      <c r="E4" s="442"/>
      <c r="F4" s="443"/>
    </row>
    <row r="5" spans="1:6" ht="7.9" customHeight="1">
      <c r="A5" s="748" t="s">
        <v>499</v>
      </c>
      <c r="B5" s="749"/>
      <c r="C5" s="749"/>
      <c r="D5" s="749"/>
      <c r="E5" s="749"/>
      <c r="F5" s="750"/>
    </row>
    <row r="6" spans="1:6" ht="7.9" customHeight="1" thickBot="1">
      <c r="A6" s="751"/>
      <c r="B6" s="752"/>
      <c r="C6" s="752"/>
      <c r="D6" s="752"/>
      <c r="E6" s="752"/>
      <c r="F6" s="753"/>
    </row>
    <row r="7" spans="1:6">
      <c r="A7" s="294"/>
      <c r="B7" s="241" t="s">
        <v>500</v>
      </c>
      <c r="C7" s="241" t="s">
        <v>501</v>
      </c>
      <c r="D7" s="241" t="s">
        <v>502</v>
      </c>
      <c r="E7" s="241" t="s">
        <v>9</v>
      </c>
      <c r="F7" s="242"/>
    </row>
    <row r="8" spans="1:6">
      <c r="A8" s="363" t="s">
        <v>503</v>
      </c>
      <c r="B8" s="364">
        <v>1094</v>
      </c>
      <c r="C8" s="365">
        <f>B8/220</f>
        <v>4.9727272727272727</v>
      </c>
      <c r="D8" s="364">
        <v>8</v>
      </c>
      <c r="E8" s="366">
        <f>D8/$D$10</f>
        <v>0.88888888888888884</v>
      </c>
      <c r="F8" s="337"/>
    </row>
    <row r="9" spans="1:6">
      <c r="A9" s="363" t="s">
        <v>504</v>
      </c>
      <c r="B9" s="364">
        <v>1094</v>
      </c>
      <c r="C9" s="365">
        <f>B9/220</f>
        <v>4.9727272727272727</v>
      </c>
      <c r="D9" s="364">
        <v>1</v>
      </c>
      <c r="E9" s="366">
        <f>D9/$D$10</f>
        <v>0.1111111111111111</v>
      </c>
      <c r="F9" s="337"/>
    </row>
    <row r="10" spans="1:6">
      <c r="A10" s="367" t="s">
        <v>505</v>
      </c>
      <c r="B10" s="368"/>
      <c r="C10" s="368">
        <f>(C9*$E$9)+(C8*$E$8)</f>
        <v>4.9727272727272727</v>
      </c>
      <c r="D10" s="369">
        <f>SUM(D8:D9)</f>
        <v>9</v>
      </c>
      <c r="E10" s="370">
        <f>SUM(E8:E9)</f>
        <v>1</v>
      </c>
      <c r="F10" s="337"/>
    </row>
    <row r="11" spans="1:6">
      <c r="A11" s="367" t="s">
        <v>506</v>
      </c>
      <c r="B11" s="368"/>
      <c r="C11" s="371">
        <f>C10*220</f>
        <v>1094</v>
      </c>
      <c r="D11" s="365"/>
      <c r="E11" s="365"/>
      <c r="F11" s="337"/>
    </row>
    <row r="12" spans="1:6">
      <c r="A12" s="414"/>
      <c r="B12" s="298"/>
      <c r="C12" s="298"/>
      <c r="D12" s="298"/>
      <c r="E12" s="298"/>
      <c r="F12" s="337"/>
    </row>
    <row r="13" spans="1:6">
      <c r="A13" s="357" t="s">
        <v>507</v>
      </c>
      <c r="B13" s="358"/>
      <c r="C13" s="358"/>
      <c r="D13" s="724" t="s">
        <v>508</v>
      </c>
      <c r="E13" s="725"/>
      <c r="F13" s="726"/>
    </row>
    <row r="14" spans="1:6" ht="14.45" customHeight="1">
      <c r="A14" s="393" t="s">
        <v>509</v>
      </c>
      <c r="B14" s="372">
        <v>205</v>
      </c>
      <c r="C14" s="383"/>
      <c r="D14" s="727" t="s">
        <v>510</v>
      </c>
      <c r="E14" s="727"/>
      <c r="F14" s="728"/>
    </row>
    <row r="15" spans="1:6">
      <c r="A15" s="363" t="s">
        <v>511</v>
      </c>
      <c r="B15" s="373">
        <f>C11</f>
        <v>1094</v>
      </c>
      <c r="C15" s="365"/>
      <c r="D15" s="727"/>
      <c r="E15" s="727"/>
      <c r="F15" s="728"/>
    </row>
    <row r="16" spans="1:6">
      <c r="A16" s="363" t="s">
        <v>512</v>
      </c>
      <c r="B16" s="366"/>
      <c r="C16" s="365"/>
      <c r="D16" s="729"/>
      <c r="E16" s="729"/>
      <c r="F16" s="730"/>
    </row>
    <row r="17" spans="1:6">
      <c r="A17" s="367" t="s">
        <v>513</v>
      </c>
      <c r="B17" s="374">
        <f>(B14-(B16*B15))/B15</f>
        <v>0.18738574040219377</v>
      </c>
      <c r="C17" s="368"/>
      <c r="D17" s="729"/>
      <c r="E17" s="729"/>
      <c r="F17" s="730"/>
    </row>
    <row r="18" spans="1:6">
      <c r="A18" s="414"/>
      <c r="B18" s="298"/>
      <c r="C18" s="298"/>
      <c r="D18" s="729"/>
      <c r="E18" s="729"/>
      <c r="F18" s="730"/>
    </row>
    <row r="19" spans="1:6">
      <c r="A19" s="357" t="s">
        <v>514</v>
      </c>
      <c r="B19" s="358"/>
      <c r="C19" s="358"/>
      <c r="D19" s="724" t="s">
        <v>508</v>
      </c>
      <c r="E19" s="725"/>
      <c r="F19" s="726"/>
    </row>
    <row r="20" spans="1:6">
      <c r="A20" s="363" t="s">
        <v>515</v>
      </c>
      <c r="B20" s="372">
        <v>6.2</v>
      </c>
      <c r="C20" s="365" t="s">
        <v>516</v>
      </c>
      <c r="D20" s="243" t="s">
        <v>517</v>
      </c>
      <c r="E20" s="298"/>
      <c r="F20" s="337"/>
    </row>
    <row r="21" spans="1:6">
      <c r="A21" s="363" t="s">
        <v>518</v>
      </c>
      <c r="B21" s="375">
        <v>22</v>
      </c>
      <c r="C21" s="365" t="s">
        <v>519</v>
      </c>
      <c r="D21" s="298" t="s">
        <v>520</v>
      </c>
      <c r="E21" s="298"/>
      <c r="F21" s="337"/>
    </row>
    <row r="22" spans="1:6">
      <c r="A22" s="363" t="s">
        <v>511</v>
      </c>
      <c r="B22" s="373">
        <f>$C$11</f>
        <v>1094</v>
      </c>
      <c r="C22" s="365"/>
      <c r="D22" s="298" t="s">
        <v>521</v>
      </c>
      <c r="E22" s="298"/>
      <c r="F22" s="337"/>
    </row>
    <row r="23" spans="1:6">
      <c r="A23" s="363" t="s">
        <v>522</v>
      </c>
      <c r="B23" s="366"/>
      <c r="C23" s="365"/>
      <c r="D23" s="298"/>
      <c r="E23" s="298"/>
      <c r="F23" s="337"/>
    </row>
    <row r="24" spans="1:6">
      <c r="A24" s="367" t="s">
        <v>523</v>
      </c>
      <c r="B24" s="374">
        <f>((B20*B21)-(B23*B22))/B22</f>
        <v>0.1246800731261426</v>
      </c>
      <c r="C24" s="368"/>
      <c r="D24" s="298"/>
      <c r="E24" s="298"/>
      <c r="F24" s="337"/>
    </row>
    <row r="25" spans="1:6">
      <c r="A25" s="414"/>
      <c r="B25" s="298"/>
      <c r="C25" s="298"/>
      <c r="D25" s="298"/>
      <c r="E25" s="298"/>
      <c r="F25" s="337"/>
    </row>
    <row r="26" spans="1:6">
      <c r="A26" s="357" t="s">
        <v>524</v>
      </c>
      <c r="B26" s="358"/>
      <c r="C26" s="358"/>
      <c r="D26" s="724" t="s">
        <v>508</v>
      </c>
      <c r="E26" s="725"/>
      <c r="F26" s="726"/>
    </row>
    <row r="27" spans="1:6" ht="15" customHeight="1">
      <c r="A27" s="363" t="s">
        <v>525</v>
      </c>
      <c r="B27" s="372">
        <v>384.6</v>
      </c>
      <c r="C27" s="383"/>
      <c r="D27" s="298" t="s">
        <v>526</v>
      </c>
      <c r="E27" s="298"/>
      <c r="F27" s="337"/>
    </row>
    <row r="28" spans="1:6">
      <c r="A28" s="363" t="s">
        <v>511</v>
      </c>
      <c r="B28" s="373">
        <f>$C$11</f>
        <v>1094</v>
      </c>
      <c r="C28" s="365"/>
      <c r="D28" s="298" t="s">
        <v>527</v>
      </c>
      <c r="E28" s="298"/>
      <c r="F28" s="337"/>
    </row>
    <row r="29" spans="1:6">
      <c r="A29" s="367" t="s">
        <v>528</v>
      </c>
      <c r="B29" s="374">
        <f>B27/(12*B28)</f>
        <v>2.9296160877513713E-2</v>
      </c>
      <c r="C29" s="368"/>
      <c r="D29" s="298" t="s">
        <v>529</v>
      </c>
      <c r="E29" s="298"/>
      <c r="F29" s="337"/>
    </row>
    <row r="30" spans="1:6">
      <c r="A30" s="414"/>
      <c r="B30" s="298"/>
      <c r="C30" s="298"/>
      <c r="D30" s="394" t="s">
        <v>530</v>
      </c>
      <c r="E30" s="298"/>
      <c r="F30" s="337"/>
    </row>
    <row r="31" spans="1:6" ht="30">
      <c r="A31" s="376" t="s">
        <v>531</v>
      </c>
      <c r="B31" s="377" t="s">
        <v>121</v>
      </c>
      <c r="C31" s="377" t="s">
        <v>532</v>
      </c>
      <c r="D31" s="377" t="s">
        <v>533</v>
      </c>
      <c r="E31" s="377" t="s">
        <v>534</v>
      </c>
      <c r="F31" s="292"/>
    </row>
    <row r="32" spans="1:6">
      <c r="A32" s="376" t="s">
        <v>535</v>
      </c>
      <c r="B32" s="377" t="s">
        <v>536</v>
      </c>
      <c r="C32" s="377"/>
      <c r="D32" s="377"/>
      <c r="E32" s="377"/>
      <c r="F32" s="292"/>
    </row>
    <row r="33" spans="1:6">
      <c r="A33" s="363" t="s">
        <v>537</v>
      </c>
      <c r="B33" s="365" t="s">
        <v>538</v>
      </c>
      <c r="C33" s="378">
        <v>1</v>
      </c>
      <c r="D33" s="379"/>
      <c r="E33" s="379">
        <f>C33*D33</f>
        <v>0</v>
      </c>
      <c r="F33" s="337"/>
    </row>
    <row r="34" spans="1:6">
      <c r="A34" s="363" t="s">
        <v>539</v>
      </c>
      <c r="B34" s="365" t="s">
        <v>536</v>
      </c>
      <c r="C34" s="378">
        <v>4</v>
      </c>
      <c r="D34" s="379"/>
      <c r="E34" s="379">
        <f>C34*D34</f>
        <v>0</v>
      </c>
      <c r="F34" s="337"/>
    </row>
    <row r="35" spans="1:6">
      <c r="A35" s="380" t="s">
        <v>13</v>
      </c>
      <c r="B35" s="381"/>
      <c r="C35" s="381"/>
      <c r="D35" s="381"/>
      <c r="E35" s="382">
        <f>SUM(E33:E34)</f>
        <v>0</v>
      </c>
      <c r="F35" s="293"/>
    </row>
    <row r="36" spans="1:6">
      <c r="A36" s="414"/>
      <c r="B36" s="298"/>
      <c r="C36" s="298"/>
      <c r="D36" s="298"/>
      <c r="E36" s="298"/>
      <c r="F36" s="337"/>
    </row>
    <row r="37" spans="1:6">
      <c r="A37" s="357" t="s">
        <v>540</v>
      </c>
      <c r="B37" s="358"/>
      <c r="C37" s="358"/>
      <c r="D37" s="724" t="s">
        <v>508</v>
      </c>
      <c r="E37" s="725"/>
      <c r="F37" s="726"/>
    </row>
    <row r="38" spans="1:6">
      <c r="A38" s="363" t="s">
        <v>541</v>
      </c>
      <c r="B38" s="383"/>
      <c r="C38" s="365" t="s">
        <v>542</v>
      </c>
      <c r="D38" s="745" t="s">
        <v>543</v>
      </c>
      <c r="E38" s="746"/>
      <c r="F38" s="747"/>
    </row>
    <row r="39" spans="1:6">
      <c r="A39" s="363" t="s">
        <v>544</v>
      </c>
      <c r="B39" s="383"/>
      <c r="C39" s="365" t="s">
        <v>57</v>
      </c>
      <c r="D39" s="745"/>
      <c r="E39" s="746"/>
      <c r="F39" s="747"/>
    </row>
    <row r="40" spans="1:6">
      <c r="A40" s="363" t="s">
        <v>545</v>
      </c>
      <c r="B40" s="383"/>
      <c r="C40" s="365" t="s">
        <v>546</v>
      </c>
      <c r="D40" s="745"/>
      <c r="E40" s="746"/>
      <c r="F40" s="747"/>
    </row>
    <row r="41" spans="1:6">
      <c r="A41" s="363" t="s">
        <v>547</v>
      </c>
      <c r="B41" s="384"/>
      <c r="C41" s="365"/>
      <c r="D41" s="745"/>
      <c r="E41" s="746"/>
      <c r="F41" s="747"/>
    </row>
    <row r="42" spans="1:6">
      <c r="A42" s="367" t="s">
        <v>548</v>
      </c>
      <c r="B42" s="385">
        <f>B41*B38</f>
        <v>0</v>
      </c>
      <c r="C42" s="368"/>
      <c r="D42" s="298"/>
      <c r="E42" s="298"/>
      <c r="F42" s="337"/>
    </row>
    <row r="43" spans="1:6">
      <c r="A43" s="414"/>
      <c r="B43" s="298"/>
      <c r="C43" s="298"/>
      <c r="D43" s="298"/>
      <c r="E43" s="298"/>
      <c r="F43" s="337"/>
    </row>
    <row r="44" spans="1:6">
      <c r="A44" s="357" t="s">
        <v>549</v>
      </c>
      <c r="B44" s="358"/>
      <c r="C44" s="358"/>
      <c r="D44" s="724" t="s">
        <v>508</v>
      </c>
      <c r="E44" s="725"/>
      <c r="F44" s="726"/>
    </row>
    <row r="45" spans="1:6">
      <c r="A45" s="363" t="s">
        <v>550</v>
      </c>
      <c r="B45" s="386"/>
      <c r="C45" s="365" t="s">
        <v>542</v>
      </c>
      <c r="D45" s="745" t="s">
        <v>551</v>
      </c>
      <c r="E45" s="746"/>
      <c r="F45" s="747"/>
    </row>
    <row r="46" spans="1:6">
      <c r="A46" s="363" t="s">
        <v>552</v>
      </c>
      <c r="B46" s="383"/>
      <c r="C46" s="365" t="s">
        <v>57</v>
      </c>
      <c r="D46" s="745"/>
      <c r="E46" s="746"/>
      <c r="F46" s="747"/>
    </row>
    <row r="47" spans="1:6">
      <c r="A47" s="363" t="s">
        <v>553</v>
      </c>
      <c r="B47" s="386"/>
      <c r="C47" s="365" t="s">
        <v>546</v>
      </c>
      <c r="D47" s="745"/>
      <c r="E47" s="746"/>
      <c r="F47" s="747"/>
    </row>
    <row r="48" spans="1:6">
      <c r="A48" s="387" t="s">
        <v>554</v>
      </c>
      <c r="B48" s="388"/>
      <c r="C48" s="389"/>
      <c r="D48" s="745"/>
      <c r="E48" s="746"/>
      <c r="F48" s="747"/>
    </row>
    <row r="49" spans="1:6" ht="15.75" thickBot="1">
      <c r="A49" s="354" t="s">
        <v>555</v>
      </c>
      <c r="B49" s="355">
        <f>B47*B48</f>
        <v>0</v>
      </c>
      <c r="C49" s="356"/>
      <c r="D49" s="47"/>
      <c r="E49" s="47"/>
      <c r="F49" s="48"/>
    </row>
    <row r="50" spans="1:6">
      <c r="A50" s="357" t="s">
        <v>50</v>
      </c>
      <c r="B50" s="358"/>
      <c r="C50" s="358"/>
      <c r="D50" s="724" t="s">
        <v>508</v>
      </c>
      <c r="E50" s="725"/>
      <c r="F50" s="726"/>
    </row>
    <row r="51" spans="1:6">
      <c r="A51" s="360"/>
      <c r="B51" s="361"/>
      <c r="C51" s="362"/>
      <c r="D51" s="736" t="s">
        <v>556</v>
      </c>
      <c r="E51" s="737"/>
      <c r="F51" s="738"/>
    </row>
    <row r="52" spans="1:6" ht="14.45" customHeight="1">
      <c r="A52" s="731" t="s">
        <v>557</v>
      </c>
      <c r="B52" s="732"/>
      <c r="C52" s="733"/>
      <c r="D52" s="736"/>
      <c r="E52" s="737"/>
      <c r="F52" s="738"/>
    </row>
    <row r="53" spans="1:6" ht="30.6" customHeight="1">
      <c r="A53" s="742" t="s">
        <v>558</v>
      </c>
      <c r="B53" s="743"/>
      <c r="C53" s="744"/>
      <c r="D53" s="736"/>
      <c r="E53" s="737"/>
      <c r="F53" s="738"/>
    </row>
    <row r="54" spans="1:6">
      <c r="A54" s="731" t="s">
        <v>559</v>
      </c>
      <c r="B54" s="732"/>
      <c r="C54" s="733"/>
      <c r="D54" s="736"/>
      <c r="E54" s="737"/>
      <c r="F54" s="738"/>
    </row>
    <row r="55" spans="1:6">
      <c r="A55" s="731" t="s">
        <v>560</v>
      </c>
      <c r="B55" s="732"/>
      <c r="C55" s="733"/>
      <c r="D55" s="736"/>
      <c r="E55" s="737"/>
      <c r="F55" s="738"/>
    </row>
    <row r="56" spans="1:6" ht="14.45" customHeight="1" thickBot="1">
      <c r="A56" s="734" t="s">
        <v>561</v>
      </c>
      <c r="B56" s="735"/>
      <c r="C56" s="390">
        <v>2.8000000000000001E-2</v>
      </c>
      <c r="D56" s="739"/>
      <c r="E56" s="740"/>
      <c r="F56" s="741"/>
    </row>
  </sheetData>
  <mergeCells count="20">
    <mergeCell ref="A1:F1"/>
    <mergeCell ref="A2:F2"/>
    <mergeCell ref="A3:F3"/>
    <mergeCell ref="A4:F4"/>
    <mergeCell ref="A5:F6"/>
    <mergeCell ref="D26:F26"/>
    <mergeCell ref="D13:F13"/>
    <mergeCell ref="D14:F18"/>
    <mergeCell ref="A55:C55"/>
    <mergeCell ref="A56:B56"/>
    <mergeCell ref="D51:F56"/>
    <mergeCell ref="D50:F50"/>
    <mergeCell ref="A52:C52"/>
    <mergeCell ref="A53:C53"/>
    <mergeCell ref="A54:C54"/>
    <mergeCell ref="D37:F37"/>
    <mergeCell ref="D38:F41"/>
    <mergeCell ref="D44:F44"/>
    <mergeCell ref="D45:F48"/>
    <mergeCell ref="D19:F19"/>
  </mergeCells>
  <pageMargins left="0.511811024" right="0.511811024" top="0.78740157499999996" bottom="0.78740157499999996" header="0.31496062000000002" footer="0.31496062000000002"/>
  <pageSetup paperSize="9" scale="81" orientation="portrait" horizontalDpi="4294967295" verticalDpi="4294967295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ilha16"/>
  <dimension ref="A1:C16"/>
  <sheetViews>
    <sheetView workbookViewId="0">
      <selection activeCell="B2" sqref="B2"/>
    </sheetView>
  </sheetViews>
  <sheetFormatPr defaultRowHeight="15"/>
  <cols>
    <col min="1" max="1" width="28.7109375" customWidth="1"/>
    <col min="2" max="2" width="18" customWidth="1"/>
    <col min="3" max="3" width="9.140625" customWidth="1"/>
  </cols>
  <sheetData>
    <row r="1" spans="1:3">
      <c r="A1" s="754" t="str">
        <f>'COMP CUSTO'!B129</f>
        <v>CAMINHAO PIPA 10.000L TRUCADO, 208CV - 21,1T (VU=6ANOS) (INCLUI TANQUE DE ACO PARA TRANSPORTE DE AGUA E MOTOBOMBA CENTRIFUGA A GASOLINA 3,5CV (200H/MÊS)</v>
      </c>
      <c r="B1" s="754"/>
      <c r="C1" s="754"/>
    </row>
    <row r="2" spans="1:3">
      <c r="A2" s="246" t="s">
        <v>562</v>
      </c>
      <c r="B2" s="246">
        <v>205</v>
      </c>
      <c r="C2" s="246" t="s">
        <v>563</v>
      </c>
    </row>
    <row r="3" spans="1:3">
      <c r="A3" s="246" t="s">
        <v>564</v>
      </c>
      <c r="B3" s="247">
        <v>4</v>
      </c>
      <c r="C3" s="246" t="s">
        <v>565</v>
      </c>
    </row>
    <row r="4" spans="1:3">
      <c r="A4" s="246" t="s">
        <v>566</v>
      </c>
      <c r="B4" s="247">
        <v>20</v>
      </c>
      <c r="C4" s="246" t="s">
        <v>565</v>
      </c>
    </row>
    <row r="5" spans="1:3">
      <c r="A5" s="246"/>
      <c r="B5" s="246"/>
      <c r="C5" s="246"/>
    </row>
    <row r="6" spans="1:3">
      <c r="A6" s="246" t="s">
        <v>567</v>
      </c>
      <c r="B6" s="246">
        <f>((B3*B2)+(B4*B2)/(B3+B4))</f>
        <v>990.83333333333337</v>
      </c>
      <c r="C6" s="246" t="s">
        <v>563</v>
      </c>
    </row>
    <row r="7" spans="1:3">
      <c r="A7" s="246" t="s">
        <v>568</v>
      </c>
      <c r="B7" s="248">
        <f>100/B6</f>
        <v>0.10092514718250631</v>
      </c>
      <c r="C7" s="246"/>
    </row>
    <row r="8" spans="1:3">
      <c r="A8" s="246"/>
      <c r="B8" s="246"/>
      <c r="C8" s="246"/>
    </row>
    <row r="9" spans="1:3">
      <c r="A9" s="246" t="s">
        <v>569</v>
      </c>
      <c r="B9" s="247">
        <v>55</v>
      </c>
      <c r="C9" s="246" t="s">
        <v>570</v>
      </c>
    </row>
    <row r="10" spans="1:3">
      <c r="A10" s="246" t="s">
        <v>571</v>
      </c>
      <c r="B10" s="246">
        <f>B9/60</f>
        <v>0.91666666666666663</v>
      </c>
      <c r="C10" s="246"/>
    </row>
    <row r="11" spans="1:3">
      <c r="A11" s="246" t="s">
        <v>572</v>
      </c>
      <c r="B11" s="246">
        <f>B7*B10</f>
        <v>9.2514718250630776E-2</v>
      </c>
      <c r="C11" s="246"/>
    </row>
    <row r="12" spans="1:3">
      <c r="A12" s="246"/>
      <c r="B12" s="246"/>
      <c r="C12" s="246"/>
    </row>
    <row r="13" spans="1:3">
      <c r="A13" s="246" t="s">
        <v>573</v>
      </c>
      <c r="B13" s="249">
        <f>B11*B2</f>
        <v>18.96551724137931</v>
      </c>
      <c r="C13" s="246" t="s">
        <v>563</v>
      </c>
    </row>
    <row r="14" spans="1:3">
      <c r="A14" s="246"/>
      <c r="B14" s="246"/>
      <c r="C14" s="246"/>
    </row>
    <row r="15" spans="1:3">
      <c r="A15" s="246" t="s">
        <v>574</v>
      </c>
      <c r="B15" s="259">
        <f>0.15*(B11)*B2</f>
        <v>2.8448275862068964</v>
      </c>
      <c r="C15" s="246"/>
    </row>
    <row r="16" spans="1:3">
      <c r="A16" s="246"/>
      <c r="B16" s="246"/>
      <c r="C16" s="246"/>
    </row>
  </sheetData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>
    <tabColor rgb="FF00B050"/>
    <pageSetUpPr fitToPage="1"/>
  </sheetPr>
  <dimension ref="A1:H63"/>
  <sheetViews>
    <sheetView view="pageBreakPreview" topLeftCell="A4" zoomScale="85" zoomScaleNormal="100" zoomScaleSheetLayoutView="85" zoomScalePageLayoutView="120" workbookViewId="0">
      <selection activeCell="F9" sqref="F9"/>
    </sheetView>
  </sheetViews>
  <sheetFormatPr defaultColWidth="9.5703125" defaultRowHeight="12.75"/>
  <cols>
    <col min="1" max="1" width="14.5703125" style="118" customWidth="1"/>
    <col min="2" max="2" width="35.7109375" style="118" customWidth="1"/>
    <col min="3" max="3" width="8.42578125" style="118" customWidth="1"/>
    <col min="4" max="4" width="9.7109375" style="118" customWidth="1"/>
    <col min="5" max="5" width="12.85546875" style="124" customWidth="1"/>
    <col min="6" max="6" width="13" style="125" customWidth="1"/>
    <col min="7" max="7" width="16.28515625" style="125" customWidth="1"/>
    <col min="8" max="8" width="25.7109375" style="118" customWidth="1"/>
    <col min="9" max="10" width="9.140625" style="118" customWidth="1"/>
    <col min="11" max="11" width="11.42578125" style="118" bestFit="1" customWidth="1"/>
    <col min="12" max="12" width="11.7109375" style="118" bestFit="1" customWidth="1"/>
    <col min="13" max="252" width="9.140625" style="118" customWidth="1"/>
    <col min="253" max="253" width="19.5703125" style="118" customWidth="1"/>
    <col min="254" max="254" width="36.5703125" style="118" bestFit="1" customWidth="1"/>
    <col min="255" max="255" width="9.28515625" style="118" customWidth="1"/>
    <col min="256" max="16384" width="9.5703125" style="118"/>
  </cols>
  <sheetData>
    <row r="1" spans="1:8" ht="63" customHeight="1">
      <c r="A1" s="456"/>
      <c r="B1" s="457"/>
      <c r="C1" s="457"/>
      <c r="D1" s="457"/>
      <c r="E1" s="457"/>
      <c r="F1" s="457"/>
      <c r="G1" s="458"/>
    </row>
    <row r="2" spans="1:8" ht="15.75">
      <c r="A2" s="441" t="s">
        <v>0</v>
      </c>
      <c r="B2" s="442"/>
      <c r="C2" s="442"/>
      <c r="D2" s="442"/>
      <c r="E2" s="442"/>
      <c r="F2" s="442"/>
      <c r="G2" s="443"/>
    </row>
    <row r="3" spans="1:8" ht="15.75">
      <c r="A3" s="441" t="s">
        <v>1</v>
      </c>
      <c r="B3" s="442"/>
      <c r="C3" s="442"/>
      <c r="D3" s="442"/>
      <c r="E3" s="442"/>
      <c r="F3" s="442"/>
      <c r="G3" s="443"/>
    </row>
    <row r="4" spans="1:8" ht="16.5" thickBot="1">
      <c r="A4" s="444" t="s">
        <v>2</v>
      </c>
      <c r="B4" s="445"/>
      <c r="C4" s="445"/>
      <c r="D4" s="445"/>
      <c r="E4" s="445"/>
      <c r="F4" s="445"/>
      <c r="G4" s="446"/>
    </row>
    <row r="5" spans="1:8" ht="16.5" thickBot="1">
      <c r="A5" s="444" t="s">
        <v>35</v>
      </c>
      <c r="B5" s="445"/>
      <c r="C5" s="445"/>
      <c r="D5" s="445"/>
      <c r="E5" s="445"/>
      <c r="F5" s="445"/>
      <c r="G5" s="446"/>
    </row>
    <row r="6" spans="1:8" ht="13.5" thickBot="1">
      <c r="A6" s="114"/>
      <c r="B6" s="115"/>
      <c r="C6" s="115"/>
      <c r="D6" s="115"/>
      <c r="E6" s="115"/>
      <c r="F6" s="116"/>
      <c r="G6" s="117"/>
    </row>
    <row r="7" spans="1:8" ht="25.5" customHeight="1" thickBot="1">
      <c r="A7" s="217" t="s">
        <v>36</v>
      </c>
      <c r="B7" s="218" t="s">
        <v>37</v>
      </c>
      <c r="C7" s="219" t="s">
        <v>38</v>
      </c>
      <c r="D7" s="219" t="s">
        <v>39</v>
      </c>
      <c r="E7" s="220" t="s">
        <v>40</v>
      </c>
      <c r="F7" s="221" t="s">
        <v>41</v>
      </c>
      <c r="G7" s="222" t="s">
        <v>42</v>
      </c>
    </row>
    <row r="8" spans="1:8" ht="25.5">
      <c r="A8" s="162" t="s">
        <v>43</v>
      </c>
      <c r="B8" s="158" t="s">
        <v>44</v>
      </c>
      <c r="C8" s="159" t="s">
        <v>45</v>
      </c>
      <c r="D8" s="159" t="s">
        <v>46</v>
      </c>
      <c r="E8" s="160"/>
      <c r="F8" s="161"/>
      <c r="G8" s="163"/>
    </row>
    <row r="9" spans="1:8" ht="25.5">
      <c r="A9" s="319" t="str">
        <f>A8</f>
        <v>ACORDO COLETIVO</v>
      </c>
      <c r="B9" s="320" t="str">
        <f>B8</f>
        <v>VIGIA DIURNO 12X36</v>
      </c>
      <c r="C9" s="321" t="s">
        <v>47</v>
      </c>
      <c r="D9" s="321" t="s">
        <v>46</v>
      </c>
      <c r="E9" s="322">
        <v>1</v>
      </c>
      <c r="F9" s="323"/>
      <c r="G9" s="324">
        <f>ROUND(E9*F9,2)</f>
        <v>0</v>
      </c>
    </row>
    <row r="10" spans="1:8" ht="14.25" customHeight="1">
      <c r="A10" s="454" t="s">
        <v>48</v>
      </c>
      <c r="B10" s="455"/>
      <c r="C10" s="455"/>
      <c r="D10" s="455"/>
      <c r="E10" s="455"/>
      <c r="F10" s="455"/>
      <c r="G10" s="351">
        <f>G9</f>
        <v>0</v>
      </c>
    </row>
    <row r="11" spans="1:8" ht="14.25" customHeight="1">
      <c r="A11" s="454" t="s">
        <v>49</v>
      </c>
      <c r="B11" s="455"/>
      <c r="C11" s="455"/>
      <c r="D11" s="455"/>
      <c r="E11" s="455"/>
      <c r="F11" s="455"/>
      <c r="G11" s="325">
        <f>SUM(G10:G10)</f>
        <v>0</v>
      </c>
      <c r="H11" s="118">
        <f>G11*0.2*6</f>
        <v>0</v>
      </c>
    </row>
    <row r="12" spans="1:8" ht="14.25" customHeight="1">
      <c r="A12" s="459" t="s">
        <v>50</v>
      </c>
      <c r="B12" s="460"/>
      <c r="C12" s="460"/>
      <c r="D12" s="460"/>
      <c r="E12" s="460"/>
      <c r="F12" s="359">
        <f>'Adicionais e Encargos compl'!C56</f>
        <v>2.8000000000000001E-2</v>
      </c>
      <c r="G12" s="351">
        <f>G11*F12</f>
        <v>0</v>
      </c>
    </row>
    <row r="13" spans="1:8" ht="14.25" customHeight="1">
      <c r="A13" s="459" t="s">
        <v>51</v>
      </c>
      <c r="B13" s="460"/>
      <c r="C13" s="460"/>
      <c r="D13" s="460"/>
      <c r="E13" s="460"/>
      <c r="F13" s="327">
        <v>0.74480000000000002</v>
      </c>
      <c r="G13" s="351">
        <f>F13*(G11+G12)</f>
        <v>0</v>
      </c>
    </row>
    <row r="14" spans="1:8" ht="14.25" customHeight="1">
      <c r="A14" s="400"/>
      <c r="B14" s="401"/>
      <c r="C14" s="401"/>
      <c r="D14" s="401"/>
      <c r="E14" s="402" t="str">
        <f>'Adicionais e Encargos compl'!$A$13</f>
        <v>AUXILIO ALIMENTAÇÃO</v>
      </c>
      <c r="F14" s="327">
        <f>'Adicionais e Encargos compl'!B17</f>
        <v>0.18738574040219377</v>
      </c>
      <c r="G14" s="351">
        <f>G11*F14</f>
        <v>0</v>
      </c>
    </row>
    <row r="15" spans="1:8" ht="14.25" customHeight="1">
      <c r="A15" s="400"/>
      <c r="B15" s="401"/>
      <c r="C15" s="401"/>
      <c r="D15" s="401"/>
      <c r="E15" s="402" t="str">
        <f>'Adicionais e Encargos compl'!$A$19</f>
        <v>VALE TRANSPORTE</v>
      </c>
      <c r="F15" s="327">
        <f>'Adicionais e Encargos compl'!B24</f>
        <v>0.1246800731261426</v>
      </c>
      <c r="G15" s="351">
        <f>G11*F15</f>
        <v>0</v>
      </c>
    </row>
    <row r="16" spans="1:8" ht="14.25" customHeight="1">
      <c r="A16" s="328"/>
      <c r="B16" s="329"/>
      <c r="C16" s="329"/>
      <c r="D16" s="349"/>
      <c r="E16" s="350" t="str">
        <f>'Adicionais e Encargos compl'!$A$26</f>
        <v>EPI/UNIFORME</v>
      </c>
      <c r="F16" s="330">
        <f>'Adicionais e Encargos compl'!B29</f>
        <v>2.9296160877513713E-2</v>
      </c>
      <c r="G16" s="318">
        <f>G11*F16</f>
        <v>0</v>
      </c>
    </row>
    <row r="17" spans="1:7" ht="14.25" customHeight="1">
      <c r="A17" s="454" t="s">
        <v>52</v>
      </c>
      <c r="B17" s="455"/>
      <c r="C17" s="455"/>
      <c r="D17" s="455"/>
      <c r="E17" s="455"/>
      <c r="F17" s="455"/>
      <c r="G17" s="351">
        <f>SUM(G12:G16)</f>
        <v>0</v>
      </c>
    </row>
    <row r="18" spans="1:7" ht="14.25" customHeight="1">
      <c r="A18" s="454" t="s">
        <v>53</v>
      </c>
      <c r="B18" s="455"/>
      <c r="C18" s="455"/>
      <c r="D18" s="455"/>
      <c r="E18" s="455"/>
      <c r="F18" s="455"/>
      <c r="G18" s="325">
        <f>TRUNC(G11+G17,2)</f>
        <v>0</v>
      </c>
    </row>
    <row r="19" spans="1:7" ht="13.5" customHeight="1">
      <c r="A19" s="461"/>
      <c r="B19" s="462"/>
      <c r="C19" s="462"/>
      <c r="D19" s="462"/>
      <c r="E19" s="462"/>
      <c r="F19" s="462"/>
      <c r="G19" s="463"/>
    </row>
    <row r="20" spans="1:7" ht="25.5">
      <c r="A20" s="162" t="s">
        <v>43</v>
      </c>
      <c r="B20" s="158" t="s">
        <v>54</v>
      </c>
      <c r="C20" s="159" t="s">
        <v>45</v>
      </c>
      <c r="D20" s="159" t="s">
        <v>46</v>
      </c>
      <c r="E20" s="160"/>
      <c r="F20" s="161"/>
      <c r="G20" s="163"/>
    </row>
    <row r="21" spans="1:7" ht="25.5">
      <c r="A21" s="319" t="str">
        <f>A20</f>
        <v>ACORDO COLETIVO</v>
      </c>
      <c r="B21" s="320" t="str">
        <f>B20</f>
        <v>VIGIA NOTURNO 12X36</v>
      </c>
      <c r="C21" s="321" t="s">
        <v>47</v>
      </c>
      <c r="D21" s="321" t="s">
        <v>46</v>
      </c>
      <c r="E21" s="322">
        <v>1</v>
      </c>
      <c r="F21" s="323"/>
      <c r="G21" s="324">
        <f>ROUND(E21*F21,2)</f>
        <v>0</v>
      </c>
    </row>
    <row r="22" spans="1:7" ht="13.5" customHeight="1">
      <c r="A22" s="454" t="s">
        <v>48</v>
      </c>
      <c r="B22" s="455"/>
      <c r="C22" s="455"/>
      <c r="D22" s="455"/>
      <c r="E22" s="455"/>
      <c r="F22" s="455"/>
      <c r="G22" s="351">
        <f>G21</f>
        <v>0</v>
      </c>
    </row>
    <row r="23" spans="1:7" ht="13.5" customHeight="1">
      <c r="A23" s="454" t="s">
        <v>49</v>
      </c>
      <c r="B23" s="455"/>
      <c r="C23" s="455"/>
      <c r="D23" s="455"/>
      <c r="E23" s="455"/>
      <c r="F23" s="455"/>
      <c r="G23" s="325">
        <f>SUM(G22:G22)</f>
        <v>0</v>
      </c>
    </row>
    <row r="24" spans="1:7" ht="13.5" customHeight="1">
      <c r="A24" s="459" t="s">
        <v>50</v>
      </c>
      <c r="B24" s="460"/>
      <c r="C24" s="460"/>
      <c r="D24" s="460"/>
      <c r="E24" s="460"/>
      <c r="F24" s="359">
        <f>'Adicionais e Encargos compl'!C56</f>
        <v>2.8000000000000001E-2</v>
      </c>
      <c r="G24" s="351">
        <f>G23*F24</f>
        <v>0</v>
      </c>
    </row>
    <row r="25" spans="1:7" ht="13.5" customHeight="1">
      <c r="A25" s="459" t="s">
        <v>55</v>
      </c>
      <c r="B25" s="460"/>
      <c r="C25" s="460"/>
      <c r="D25" s="460"/>
      <c r="E25" s="352">
        <f>'Adicionais e Encargos compl'!B42</f>
        <v>0</v>
      </c>
      <c r="F25" s="353">
        <f>'Adicionais e Encargos compl'!B49</f>
        <v>0</v>
      </c>
      <c r="G25" s="351">
        <f>E25*F25</f>
        <v>0</v>
      </c>
    </row>
    <row r="26" spans="1:7" ht="13.5" customHeight="1">
      <c r="A26" s="459" t="s">
        <v>51</v>
      </c>
      <c r="B26" s="460"/>
      <c r="C26" s="460"/>
      <c r="D26" s="460"/>
      <c r="E26" s="460"/>
      <c r="F26" s="327">
        <v>0.74480000000000002</v>
      </c>
      <c r="G26" s="351">
        <f>F26*(G23+G24+G25)</f>
        <v>0</v>
      </c>
    </row>
    <row r="27" spans="1:7" ht="13.5" customHeight="1">
      <c r="A27" s="400"/>
      <c r="B27" s="401"/>
      <c r="C27" s="401"/>
      <c r="D27" s="401"/>
      <c r="E27" s="402" t="str">
        <f>'Adicionais e Encargos compl'!$A$13</f>
        <v>AUXILIO ALIMENTAÇÃO</v>
      </c>
      <c r="F27" s="327">
        <f>'Adicionais e Encargos compl'!B17</f>
        <v>0.18738574040219377</v>
      </c>
      <c r="G27" s="351">
        <f>G23*F27</f>
        <v>0</v>
      </c>
    </row>
    <row r="28" spans="1:7" ht="13.5" customHeight="1">
      <c r="A28" s="400"/>
      <c r="B28" s="401"/>
      <c r="C28" s="401"/>
      <c r="D28" s="401"/>
      <c r="E28" s="402" t="str">
        <f>'Adicionais e Encargos compl'!$A$19</f>
        <v>VALE TRANSPORTE</v>
      </c>
      <c r="F28" s="327">
        <f>'Adicionais e Encargos compl'!B24</f>
        <v>0.1246800731261426</v>
      </c>
      <c r="G28" s="351">
        <f>G23*F28</f>
        <v>0</v>
      </c>
    </row>
    <row r="29" spans="1:7" ht="13.5" customHeight="1">
      <c r="A29" s="328"/>
      <c r="B29" s="329"/>
      <c r="C29" s="329"/>
      <c r="D29" s="349"/>
      <c r="E29" s="350" t="str">
        <f>'Adicionais e Encargos compl'!$A$26</f>
        <v>EPI/UNIFORME</v>
      </c>
      <c r="F29" s="330">
        <f>'Adicionais e Encargos compl'!B29</f>
        <v>2.9296160877513713E-2</v>
      </c>
      <c r="G29" s="318">
        <f>G23*F29</f>
        <v>0</v>
      </c>
    </row>
    <row r="30" spans="1:7" ht="13.5" customHeight="1">
      <c r="A30" s="454" t="s">
        <v>52</v>
      </c>
      <c r="B30" s="455"/>
      <c r="C30" s="455"/>
      <c r="D30" s="455"/>
      <c r="E30" s="455"/>
      <c r="F30" s="455"/>
      <c r="G30" s="351">
        <f>SUM(G24:G29)</f>
        <v>0</v>
      </c>
    </row>
    <row r="31" spans="1:7" ht="13.5" customHeight="1">
      <c r="A31" s="454" t="s">
        <v>53</v>
      </c>
      <c r="B31" s="455"/>
      <c r="C31" s="455"/>
      <c r="D31" s="455"/>
      <c r="E31" s="455"/>
      <c r="F31" s="455"/>
      <c r="G31" s="325">
        <f>TRUNC(G23+G30,2)</f>
        <v>0</v>
      </c>
    </row>
    <row r="32" spans="1:7" ht="13.5" hidden="1" customHeight="1">
      <c r="A32" s="464"/>
      <c r="B32" s="465"/>
      <c r="C32" s="465"/>
      <c r="D32" s="465"/>
      <c r="E32" s="465"/>
      <c r="F32" s="465"/>
      <c r="G32" s="466"/>
    </row>
    <row r="33" spans="1:7" ht="13.5" hidden="1" customHeight="1">
      <c r="A33" s="162" t="e">
        <f>ORÇAMENTO!#REF!</f>
        <v>#REF!</v>
      </c>
      <c r="B33" s="158" t="e">
        <f>B34</f>
        <v>#REF!</v>
      </c>
      <c r="C33" s="159" t="s">
        <v>45</v>
      </c>
      <c r="D33" s="159" t="s">
        <v>56</v>
      </c>
      <c r="E33" s="160"/>
      <c r="F33" s="161"/>
      <c r="G33" s="163">
        <f>3.08*1.7448</f>
        <v>5.3739840000000001</v>
      </c>
    </row>
    <row r="34" spans="1:7" ht="13.5" hidden="1" customHeight="1">
      <c r="A34" s="331" t="e">
        <f>ORÇAMENTO!#REF!</f>
        <v>#REF!</v>
      </c>
      <c r="B34" s="320" t="e">
        <f>ORÇAMENTO!#REF!</f>
        <v>#REF!</v>
      </c>
      <c r="C34" s="321" t="s">
        <v>47</v>
      </c>
      <c r="D34" s="321" t="s">
        <v>57</v>
      </c>
      <c r="E34" s="332">
        <v>190</v>
      </c>
      <c r="F34" s="333">
        <f>12.05/1.7448</f>
        <v>6.9062356717102258</v>
      </c>
      <c r="G34" s="324">
        <f>E34*F34</f>
        <v>1312.1847776249429</v>
      </c>
    </row>
    <row r="35" spans="1:7" ht="13.5" hidden="1" customHeight="1">
      <c r="A35" s="454" t="s">
        <v>48</v>
      </c>
      <c r="B35" s="455"/>
      <c r="C35" s="455"/>
      <c r="D35" s="455"/>
      <c r="E35" s="455"/>
      <c r="F35" s="455"/>
      <c r="G35" s="351">
        <f>G34</f>
        <v>1312.1847776249429</v>
      </c>
    </row>
    <row r="36" spans="1:7" ht="13.5" hidden="1" customHeight="1">
      <c r="A36" s="454" t="s">
        <v>58</v>
      </c>
      <c r="B36" s="455"/>
      <c r="C36" s="455"/>
      <c r="D36" s="455"/>
      <c r="E36" s="455"/>
      <c r="F36" s="455"/>
      <c r="G36" s="351">
        <v>0</v>
      </c>
    </row>
    <row r="37" spans="1:7" ht="13.5" hidden="1" customHeight="1">
      <c r="A37" s="454" t="s">
        <v>49</v>
      </c>
      <c r="B37" s="455"/>
      <c r="C37" s="455"/>
      <c r="D37" s="455"/>
      <c r="E37" s="455"/>
      <c r="F37" s="455"/>
      <c r="G37" s="325">
        <f>SUM(G35:G36)</f>
        <v>1312.1847776249429</v>
      </c>
    </row>
    <row r="38" spans="1:7" ht="13.5" hidden="1" customHeight="1">
      <c r="A38" s="459" t="s">
        <v>59</v>
      </c>
      <c r="B38" s="460"/>
      <c r="C38" s="460"/>
      <c r="D38" s="460"/>
      <c r="E38" s="467"/>
      <c r="F38" s="334">
        <v>0.3</v>
      </c>
      <c r="G38" s="351">
        <f>G37*F38</f>
        <v>393.65543328748282</v>
      </c>
    </row>
    <row r="39" spans="1:7" ht="13.5" hidden="1" customHeight="1">
      <c r="A39" s="459" t="s">
        <v>51</v>
      </c>
      <c r="B39" s="460"/>
      <c r="C39" s="460"/>
      <c r="D39" s="460"/>
      <c r="E39" s="460"/>
      <c r="F39" s="326">
        <v>0.74480000000000002</v>
      </c>
      <c r="G39" s="351">
        <f>F39*G35</f>
        <v>977.31522237505749</v>
      </c>
    </row>
    <row r="40" spans="1:7" ht="13.5" hidden="1" customHeight="1">
      <c r="A40" s="400"/>
      <c r="B40" s="401"/>
      <c r="C40" s="401"/>
      <c r="D40" s="401"/>
      <c r="E40" s="402" t="str">
        <f>'Adicionais e Encargos compl'!$A$13</f>
        <v>AUXILIO ALIMENTAÇÃO</v>
      </c>
      <c r="F40" s="327">
        <f>'Adicionais e Encargos compl'!$B$17</f>
        <v>0.18738574040219377</v>
      </c>
      <c r="G40" s="351">
        <f>G35*F40</f>
        <v>245.88471609973791</v>
      </c>
    </row>
    <row r="41" spans="1:7" ht="13.5" hidden="1" customHeight="1">
      <c r="A41" s="400"/>
      <c r="B41" s="401"/>
      <c r="C41" s="401"/>
      <c r="D41" s="401"/>
      <c r="E41" s="402" t="str">
        <f>'Adicionais e Encargos compl'!$A$19</f>
        <v>VALE TRANSPORTE</v>
      </c>
      <c r="F41" s="327">
        <v>0</v>
      </c>
      <c r="G41" s="351">
        <f>G35*F41</f>
        <v>0</v>
      </c>
    </row>
    <row r="42" spans="1:7" ht="13.5" hidden="1" customHeight="1">
      <c r="A42" s="400"/>
      <c r="B42" s="401"/>
      <c r="C42" s="401"/>
      <c r="D42" s="401"/>
      <c r="E42" s="402" t="e">
        <f>'Adicionais e Encargos compl'!#REF!</f>
        <v>#REF!</v>
      </c>
      <c r="F42" s="327" t="e">
        <f>'Adicionais e Encargos compl'!#REF!</f>
        <v>#REF!</v>
      </c>
      <c r="G42" s="351" t="e">
        <f>G35*F42</f>
        <v>#REF!</v>
      </c>
    </row>
    <row r="43" spans="1:7" ht="13.5" hidden="1" customHeight="1">
      <c r="A43" s="400"/>
      <c r="B43" s="401"/>
      <c r="C43" s="349"/>
      <c r="D43" s="349"/>
      <c r="E43" s="350" t="e">
        <f>'Adicionais e Encargos compl'!#REF!</f>
        <v>#REF!</v>
      </c>
      <c r="F43" s="330" t="e">
        <f>'Adicionais e Encargos compl'!#REF!</f>
        <v>#REF!</v>
      </c>
      <c r="G43" s="318" t="e">
        <f>G35*F43</f>
        <v>#REF!</v>
      </c>
    </row>
    <row r="44" spans="1:7" ht="13.5" hidden="1" customHeight="1">
      <c r="A44" s="400"/>
      <c r="B44" s="401"/>
      <c r="C44" s="349"/>
      <c r="D44" s="349"/>
      <c r="E44" s="350" t="e">
        <f>'Adicionais e Encargos compl'!#REF!</f>
        <v>#REF!</v>
      </c>
      <c r="F44" s="330" t="e">
        <f>'Adicionais e Encargos compl'!#REF!</f>
        <v>#REF!</v>
      </c>
      <c r="G44" s="318" t="e">
        <f>G35*F44</f>
        <v>#REF!</v>
      </c>
    </row>
    <row r="45" spans="1:7" ht="13.5" hidden="1" customHeight="1">
      <c r="A45" s="400"/>
      <c r="B45" s="329"/>
      <c r="C45" s="329"/>
      <c r="D45" s="349"/>
      <c r="E45" s="350" t="e">
        <f>'Adicionais e Encargos compl'!#REF!</f>
        <v>#REF!</v>
      </c>
      <c r="F45" s="330" t="e">
        <f>'Adicionais e Encargos compl'!#REF!</f>
        <v>#REF!</v>
      </c>
      <c r="G45" s="318" t="e">
        <f>G35*F45</f>
        <v>#REF!</v>
      </c>
    </row>
    <row r="46" spans="1:7" ht="13.5" hidden="1" customHeight="1">
      <c r="A46" s="400"/>
      <c r="B46" s="401"/>
      <c r="C46" s="349"/>
      <c r="D46" s="349"/>
      <c r="E46" s="350" t="str">
        <f>'Adicionais e Encargos compl'!$A$26</f>
        <v>EPI/UNIFORME</v>
      </c>
      <c r="F46" s="330">
        <f>'Adicionais e Encargos compl'!$B$29</f>
        <v>2.9296160877513713E-2</v>
      </c>
      <c r="G46" s="318">
        <f>G35*F46</f>
        <v>38.441976346324878</v>
      </c>
    </row>
    <row r="47" spans="1:7" ht="13.5" hidden="1" customHeight="1">
      <c r="A47" s="454" t="s">
        <v>52</v>
      </c>
      <c r="B47" s="455"/>
      <c r="C47" s="455"/>
      <c r="D47" s="455"/>
      <c r="E47" s="455"/>
      <c r="F47" s="455"/>
      <c r="G47" s="351" t="e">
        <f>SUM(G38:G46)</f>
        <v>#REF!</v>
      </c>
    </row>
    <row r="48" spans="1:7" ht="13.5" hidden="1" customHeight="1">
      <c r="A48" s="454" t="s">
        <v>60</v>
      </c>
      <c r="B48" s="455"/>
      <c r="C48" s="455"/>
      <c r="D48" s="455"/>
      <c r="E48" s="455"/>
      <c r="F48" s="455"/>
      <c r="G48" s="325" t="e">
        <f>TRUNC(G37+G47,2)</f>
        <v>#REF!</v>
      </c>
    </row>
    <row r="49" spans="1:7" ht="13.5" hidden="1" customHeight="1">
      <c r="A49" s="454" t="s">
        <v>61</v>
      </c>
      <c r="B49" s="455"/>
      <c r="C49" s="455"/>
      <c r="D49" s="455"/>
      <c r="E49" s="455"/>
      <c r="F49" s="455"/>
      <c r="G49" s="351" t="e">
        <f>ORÇAMENTO!#REF!</f>
        <v>#REF!</v>
      </c>
    </row>
    <row r="50" spans="1:7" s="225" customFormat="1" ht="13.5" hidden="1" customHeight="1">
      <c r="A50" s="454" t="s">
        <v>62</v>
      </c>
      <c r="B50" s="455"/>
      <c r="C50" s="455"/>
      <c r="D50" s="455"/>
      <c r="E50" s="455"/>
      <c r="F50" s="455"/>
      <c r="G50" s="325" t="e">
        <f>TRUNC(G48*G49,2)</f>
        <v>#REF!</v>
      </c>
    </row>
    <row r="51" spans="1:7" ht="13.5" customHeight="1">
      <c r="A51" s="461"/>
      <c r="B51" s="462"/>
      <c r="C51" s="462"/>
      <c r="D51" s="462"/>
      <c r="E51" s="462"/>
      <c r="F51" s="462"/>
      <c r="G51" s="463"/>
    </row>
    <row r="52" spans="1:7" ht="25.5">
      <c r="A52" s="162" t="s">
        <v>43</v>
      </c>
      <c r="B52" s="158" t="s">
        <v>63</v>
      </c>
      <c r="C52" s="159" t="s">
        <v>45</v>
      </c>
      <c r="D52" s="159" t="s">
        <v>12</v>
      </c>
      <c r="E52" s="160"/>
      <c r="F52" s="161"/>
      <c r="G52" s="163"/>
    </row>
    <row r="53" spans="1:7" ht="25.5">
      <c r="A53" s="319" t="str">
        <f>A52</f>
        <v>ACORDO COLETIVO</v>
      </c>
      <c r="B53" s="320" t="str">
        <f>B52</f>
        <v>PORTEIRO</v>
      </c>
      <c r="C53" s="321" t="s">
        <v>47</v>
      </c>
      <c r="D53" s="321" t="str">
        <f>D52</f>
        <v>MÊS</v>
      </c>
      <c r="E53" s="332">
        <v>1</v>
      </c>
      <c r="F53" s="323"/>
      <c r="G53" s="324">
        <f>E53*F53</f>
        <v>0</v>
      </c>
    </row>
    <row r="54" spans="1:7" ht="13.5" customHeight="1">
      <c r="A54" s="454" t="s">
        <v>48</v>
      </c>
      <c r="B54" s="455"/>
      <c r="C54" s="455"/>
      <c r="D54" s="455"/>
      <c r="E54" s="455"/>
      <c r="F54" s="455"/>
      <c r="G54" s="351">
        <f>G53</f>
        <v>0</v>
      </c>
    </row>
    <row r="55" spans="1:7" ht="13.5" customHeight="1">
      <c r="A55" s="454" t="s">
        <v>49</v>
      </c>
      <c r="B55" s="455"/>
      <c r="C55" s="455"/>
      <c r="D55" s="455"/>
      <c r="E55" s="455"/>
      <c r="F55" s="455"/>
      <c r="G55" s="325">
        <f>SUM(G54:G54)</f>
        <v>0</v>
      </c>
    </row>
    <row r="56" spans="1:7" ht="13.5" customHeight="1">
      <c r="A56" s="459" t="s">
        <v>50</v>
      </c>
      <c r="B56" s="460"/>
      <c r="C56" s="460"/>
      <c r="D56" s="460"/>
      <c r="E56" s="460"/>
      <c r="F56" s="359">
        <f>'Adicionais e Encargos compl'!C56</f>
        <v>2.8000000000000001E-2</v>
      </c>
      <c r="G56" s="351">
        <f>G55*F56</f>
        <v>0</v>
      </c>
    </row>
    <row r="57" spans="1:7" ht="13.5" customHeight="1">
      <c r="A57" s="459" t="s">
        <v>51</v>
      </c>
      <c r="B57" s="460"/>
      <c r="C57" s="460"/>
      <c r="D57" s="460"/>
      <c r="E57" s="460"/>
      <c r="F57" s="327">
        <v>0.74480000000000002</v>
      </c>
      <c r="G57" s="351">
        <f>F57*(G55+G56)</f>
        <v>0</v>
      </c>
    </row>
    <row r="58" spans="1:7" ht="13.5" customHeight="1">
      <c r="A58" s="459" t="s">
        <v>64</v>
      </c>
      <c r="B58" s="460"/>
      <c r="C58" s="460"/>
      <c r="D58" s="460"/>
      <c r="E58" s="460"/>
      <c r="F58" s="467"/>
      <c r="G58" s="351">
        <f>4.59/12</f>
        <v>0.38250000000000001</v>
      </c>
    </row>
    <row r="59" spans="1:7" ht="13.5" customHeight="1">
      <c r="A59" s="400"/>
      <c r="B59" s="401"/>
      <c r="C59" s="401"/>
      <c r="D59" s="401"/>
      <c r="E59" s="402" t="str">
        <f>'Adicionais e Encargos compl'!$A$13</f>
        <v>AUXILIO ALIMENTAÇÃO</v>
      </c>
      <c r="F59" s="327">
        <f>'Adicionais e Encargos compl'!B17</f>
        <v>0.18738574040219377</v>
      </c>
      <c r="G59" s="351">
        <f>G55*F59</f>
        <v>0</v>
      </c>
    </row>
    <row r="60" spans="1:7" ht="13.5" customHeight="1">
      <c r="A60" s="400"/>
      <c r="B60" s="401"/>
      <c r="C60" s="401"/>
      <c r="D60" s="401"/>
      <c r="E60" s="402" t="str">
        <f>'Adicionais e Encargos compl'!$A$19</f>
        <v>VALE TRANSPORTE</v>
      </c>
      <c r="F60" s="327">
        <f>'Adicionais e Encargos compl'!B24</f>
        <v>0.1246800731261426</v>
      </c>
      <c r="G60" s="351">
        <f>G55*F60</f>
        <v>0</v>
      </c>
    </row>
    <row r="61" spans="1:7" ht="13.5" customHeight="1">
      <c r="A61" s="328"/>
      <c r="B61" s="329"/>
      <c r="C61" s="329"/>
      <c r="D61" s="349"/>
      <c r="E61" s="350" t="str">
        <f>'Adicionais e Encargos compl'!$A$26</f>
        <v>EPI/UNIFORME</v>
      </c>
      <c r="F61" s="330">
        <f>'Adicionais e Encargos compl'!B29</f>
        <v>2.9296160877513713E-2</v>
      </c>
      <c r="G61" s="318">
        <f>G55*F61</f>
        <v>0</v>
      </c>
    </row>
    <row r="62" spans="1:7" ht="13.5" customHeight="1">
      <c r="A62" s="454" t="s">
        <v>52</v>
      </c>
      <c r="B62" s="455"/>
      <c r="C62" s="455"/>
      <c r="D62" s="455"/>
      <c r="E62" s="455"/>
      <c r="F62" s="455"/>
      <c r="G62" s="351">
        <f>SUM(G56:G61)</f>
        <v>0.38250000000000001</v>
      </c>
    </row>
    <row r="63" spans="1:7" ht="13.5" customHeight="1">
      <c r="A63" s="454" t="s">
        <v>53</v>
      </c>
      <c r="B63" s="455"/>
      <c r="C63" s="455"/>
      <c r="D63" s="455"/>
      <c r="E63" s="455"/>
      <c r="F63" s="455"/>
      <c r="G63" s="325">
        <f>TRUNC(G55+G62,2)</f>
        <v>0.38</v>
      </c>
    </row>
  </sheetData>
  <mergeCells count="37">
    <mergeCell ref="A19:G19"/>
    <mergeCell ref="A22:F22"/>
    <mergeCell ref="A25:D25"/>
    <mergeCell ref="A24:E24"/>
    <mergeCell ref="A62:F62"/>
    <mergeCell ref="A55:F55"/>
    <mergeCell ref="A23:F23"/>
    <mergeCell ref="A39:E39"/>
    <mergeCell ref="A26:E26"/>
    <mergeCell ref="A58:F58"/>
    <mergeCell ref="A63:F63"/>
    <mergeCell ref="A30:F30"/>
    <mergeCell ref="A31:F31"/>
    <mergeCell ref="A54:F54"/>
    <mergeCell ref="A47:F47"/>
    <mergeCell ref="A48:F48"/>
    <mergeCell ref="A49:F49"/>
    <mergeCell ref="A50:F50"/>
    <mergeCell ref="A51:G51"/>
    <mergeCell ref="A32:G32"/>
    <mergeCell ref="A35:F35"/>
    <mergeCell ref="A36:F36"/>
    <mergeCell ref="A37:F37"/>
    <mergeCell ref="A38:E38"/>
    <mergeCell ref="A57:E57"/>
    <mergeCell ref="A56:E56"/>
    <mergeCell ref="A11:F11"/>
    <mergeCell ref="A18:F18"/>
    <mergeCell ref="A17:F17"/>
    <mergeCell ref="A1:G1"/>
    <mergeCell ref="A2:G2"/>
    <mergeCell ref="A3:G3"/>
    <mergeCell ref="A4:G4"/>
    <mergeCell ref="A5:G5"/>
    <mergeCell ref="A10:F10"/>
    <mergeCell ref="A13:E13"/>
    <mergeCell ref="A12:E12"/>
  </mergeCells>
  <pageMargins left="0.59055118110236227" right="0.39370078740157483" top="0.39370078740157483" bottom="0.39370078740157483" header="0" footer="0"/>
  <pageSetup paperSize="9" scale="83" fitToHeight="0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>
    <tabColor rgb="FF00B050"/>
    <pageSetUpPr fitToPage="1"/>
  </sheetPr>
  <dimension ref="A1:G38"/>
  <sheetViews>
    <sheetView view="pageBreakPreview" zoomScale="85" zoomScaleNormal="100" zoomScaleSheetLayoutView="85" zoomScalePageLayoutView="120" workbookViewId="0">
      <selection activeCell="F9" sqref="F9"/>
    </sheetView>
  </sheetViews>
  <sheetFormatPr defaultColWidth="9.5703125" defaultRowHeight="12.75"/>
  <cols>
    <col min="1" max="1" width="14.5703125" style="118" customWidth="1"/>
    <col min="2" max="2" width="35.7109375" style="118" customWidth="1"/>
    <col min="3" max="3" width="8.42578125" style="118" customWidth="1"/>
    <col min="4" max="4" width="9.7109375" style="118" customWidth="1"/>
    <col min="5" max="5" width="12.85546875" style="124" customWidth="1"/>
    <col min="6" max="6" width="13" style="125" customWidth="1"/>
    <col min="7" max="7" width="16.28515625" style="125" customWidth="1"/>
    <col min="8" max="8" width="25.7109375" style="118" customWidth="1"/>
    <col min="9" max="10" width="9.140625" style="118" customWidth="1"/>
    <col min="11" max="11" width="11.42578125" style="118" bestFit="1" customWidth="1"/>
    <col min="12" max="12" width="11.7109375" style="118" bestFit="1" customWidth="1"/>
    <col min="13" max="252" width="9.140625" style="118" customWidth="1"/>
    <col min="253" max="253" width="19.5703125" style="118" customWidth="1"/>
    <col min="254" max="254" width="36.5703125" style="118" bestFit="1" customWidth="1"/>
    <col min="255" max="255" width="9.28515625" style="118" customWidth="1"/>
    <col min="256" max="16384" width="9.5703125" style="118"/>
  </cols>
  <sheetData>
    <row r="1" spans="1:7" ht="63" customHeight="1">
      <c r="A1" s="456"/>
      <c r="B1" s="457"/>
      <c r="C1" s="457"/>
      <c r="D1" s="457"/>
      <c r="E1" s="457"/>
      <c r="F1" s="457"/>
      <c r="G1" s="458"/>
    </row>
    <row r="2" spans="1:7" ht="15.75">
      <c r="A2" s="441" t="s">
        <v>0</v>
      </c>
      <c r="B2" s="442"/>
      <c r="C2" s="442"/>
      <c r="D2" s="442"/>
      <c r="E2" s="442"/>
      <c r="F2" s="442"/>
      <c r="G2" s="443"/>
    </row>
    <row r="3" spans="1:7" ht="15.75">
      <c r="A3" s="441" t="s">
        <v>1</v>
      </c>
      <c r="B3" s="442"/>
      <c r="C3" s="442"/>
      <c r="D3" s="442"/>
      <c r="E3" s="442"/>
      <c r="F3" s="442"/>
      <c r="G3" s="443"/>
    </row>
    <row r="4" spans="1:7" ht="16.5" thickBot="1">
      <c r="A4" s="444" t="s">
        <v>2</v>
      </c>
      <c r="B4" s="445"/>
      <c r="C4" s="445"/>
      <c r="D4" s="445"/>
      <c r="E4" s="445"/>
      <c r="F4" s="445"/>
      <c r="G4" s="446"/>
    </row>
    <row r="5" spans="1:7" ht="16.5" thickBot="1">
      <c r="A5" s="444" t="s">
        <v>65</v>
      </c>
      <c r="B5" s="445"/>
      <c r="C5" s="445"/>
      <c r="D5" s="445"/>
      <c r="E5" s="445"/>
      <c r="F5" s="445"/>
      <c r="G5" s="446"/>
    </row>
    <row r="6" spans="1:7" ht="13.5" thickBot="1">
      <c r="A6" s="114"/>
      <c r="B6" s="115"/>
      <c r="C6" s="115"/>
      <c r="D6" s="115"/>
      <c r="E6" s="115"/>
      <c r="F6" s="116"/>
      <c r="G6" s="117"/>
    </row>
    <row r="7" spans="1:7" ht="25.5" customHeight="1" thickBot="1">
      <c r="A7" s="217" t="s">
        <v>36</v>
      </c>
      <c r="B7" s="218" t="s">
        <v>37</v>
      </c>
      <c r="C7" s="219" t="s">
        <v>38</v>
      </c>
      <c r="D7" s="219" t="s">
        <v>39</v>
      </c>
      <c r="E7" s="220" t="s">
        <v>40</v>
      </c>
      <c r="F7" s="221" t="s">
        <v>41</v>
      </c>
      <c r="G7" s="222" t="s">
        <v>42</v>
      </c>
    </row>
    <row r="8" spans="1:7" ht="25.5">
      <c r="A8" s="162" t="s">
        <v>43</v>
      </c>
      <c r="B8" s="158" t="s">
        <v>54</v>
      </c>
      <c r="C8" s="159" t="s">
        <v>45</v>
      </c>
      <c r="D8" s="159" t="s">
        <v>46</v>
      </c>
      <c r="E8" s="160"/>
      <c r="F8" s="161"/>
      <c r="G8" s="163"/>
    </row>
    <row r="9" spans="1:7" ht="25.5">
      <c r="A9" s="319" t="str">
        <f>A8</f>
        <v>ACORDO COLETIVO</v>
      </c>
      <c r="B9" s="320" t="str">
        <f>B8</f>
        <v>VIGIA NOTURNO 12X36</v>
      </c>
      <c r="C9" s="321" t="s">
        <v>47</v>
      </c>
      <c r="D9" s="321" t="s">
        <v>46</v>
      </c>
      <c r="E9" s="322">
        <v>1</v>
      </c>
      <c r="F9" s="323"/>
      <c r="G9" s="324">
        <f>ROUND(E9*F9,2)</f>
        <v>0</v>
      </c>
    </row>
    <row r="10" spans="1:7" ht="13.5" customHeight="1">
      <c r="A10" s="454" t="s">
        <v>48</v>
      </c>
      <c r="B10" s="455"/>
      <c r="C10" s="455"/>
      <c r="D10" s="455"/>
      <c r="E10" s="455"/>
      <c r="F10" s="455"/>
      <c r="G10" s="351">
        <f>G9</f>
        <v>0</v>
      </c>
    </row>
    <row r="11" spans="1:7" ht="13.5" customHeight="1">
      <c r="A11" s="454" t="s">
        <v>49</v>
      </c>
      <c r="B11" s="455"/>
      <c r="C11" s="455"/>
      <c r="D11" s="455"/>
      <c r="E11" s="455"/>
      <c r="F11" s="455"/>
      <c r="G11" s="325">
        <f>SUM(G10:G10)</f>
        <v>0</v>
      </c>
    </row>
    <row r="12" spans="1:7" ht="13.5" customHeight="1">
      <c r="A12" s="459" t="s">
        <v>50</v>
      </c>
      <c r="B12" s="460"/>
      <c r="C12" s="460"/>
      <c r="D12" s="460"/>
      <c r="E12" s="460"/>
      <c r="F12" s="359">
        <f>'Adicionais e Encargos compl'!C56</f>
        <v>2.8000000000000001E-2</v>
      </c>
      <c r="G12" s="351">
        <f>G11*F12</f>
        <v>0</v>
      </c>
    </row>
    <row r="13" spans="1:7" ht="13.5" customHeight="1">
      <c r="A13" s="459" t="s">
        <v>55</v>
      </c>
      <c r="B13" s="460"/>
      <c r="C13" s="460"/>
      <c r="D13" s="460"/>
      <c r="E13" s="352">
        <f>'Adicionais e Encargos compl'!B42</f>
        <v>0</v>
      </c>
      <c r="F13" s="353">
        <f>'Adicionais e Encargos compl'!B49</f>
        <v>0</v>
      </c>
      <c r="G13" s="351">
        <f>E13*F13</f>
        <v>0</v>
      </c>
    </row>
    <row r="14" spans="1:7" ht="13.5" customHeight="1">
      <c r="A14" s="459" t="s">
        <v>51</v>
      </c>
      <c r="B14" s="460"/>
      <c r="C14" s="460"/>
      <c r="D14" s="460"/>
      <c r="E14" s="460"/>
      <c r="F14" s="327">
        <v>0.74480000000000002</v>
      </c>
      <c r="G14" s="351">
        <f>F14*(G11+G12+G13)</f>
        <v>0</v>
      </c>
    </row>
    <row r="15" spans="1:7" ht="13.5" customHeight="1">
      <c r="A15" s="400"/>
      <c r="B15" s="401"/>
      <c r="C15" s="401"/>
      <c r="D15" s="401"/>
      <c r="E15" s="402" t="str">
        <f>'Adicionais e Encargos compl'!$A$13</f>
        <v>AUXILIO ALIMENTAÇÃO</v>
      </c>
      <c r="F15" s="327">
        <f>'Adicionais e Encargos compl'!B17</f>
        <v>0.18738574040219377</v>
      </c>
      <c r="G15" s="351">
        <f>G11*F15</f>
        <v>0</v>
      </c>
    </row>
    <row r="16" spans="1:7" ht="13.5" customHeight="1">
      <c r="A16" s="400"/>
      <c r="B16" s="401"/>
      <c r="C16" s="401"/>
      <c r="D16" s="401"/>
      <c r="E16" s="402" t="str">
        <f>'Adicionais e Encargos compl'!$A$19</f>
        <v>VALE TRANSPORTE</v>
      </c>
      <c r="F16" s="327">
        <f>'Adicionais e Encargos compl'!B24</f>
        <v>0.1246800731261426</v>
      </c>
      <c r="G16" s="351">
        <f>G11*F16</f>
        <v>0</v>
      </c>
    </row>
    <row r="17" spans="1:7" ht="13.5" customHeight="1">
      <c r="A17" s="328"/>
      <c r="B17" s="329"/>
      <c r="C17" s="329"/>
      <c r="D17" s="349"/>
      <c r="E17" s="350" t="str">
        <f>'Adicionais e Encargos compl'!$A$26</f>
        <v>EPI/UNIFORME</v>
      </c>
      <c r="F17" s="330">
        <f>'Adicionais e Encargos compl'!B29</f>
        <v>2.9296160877513713E-2</v>
      </c>
      <c r="G17" s="318">
        <f>G11*F17</f>
        <v>0</v>
      </c>
    </row>
    <row r="18" spans="1:7" ht="13.5" customHeight="1">
      <c r="A18" s="454" t="s">
        <v>52</v>
      </c>
      <c r="B18" s="455"/>
      <c r="C18" s="455"/>
      <c r="D18" s="455"/>
      <c r="E18" s="455"/>
      <c r="F18" s="455"/>
      <c r="G18" s="351">
        <f>SUM(G12:G17)</f>
        <v>0</v>
      </c>
    </row>
    <row r="19" spans="1:7" ht="13.5" customHeight="1">
      <c r="A19" s="454" t="s">
        <v>53</v>
      </c>
      <c r="B19" s="455"/>
      <c r="C19" s="455"/>
      <c r="D19" s="455"/>
      <c r="E19" s="455"/>
      <c r="F19" s="455"/>
      <c r="G19" s="325">
        <f>TRUNC(G11+G18,2)</f>
        <v>0</v>
      </c>
    </row>
    <row r="20" spans="1:7" ht="13.5" hidden="1" customHeight="1">
      <c r="A20" s="464"/>
      <c r="B20" s="465"/>
      <c r="C20" s="465"/>
      <c r="D20" s="465"/>
      <c r="E20" s="465"/>
      <c r="F20" s="465"/>
      <c r="G20" s="466"/>
    </row>
    <row r="21" spans="1:7" ht="13.5" hidden="1" customHeight="1">
      <c r="A21" s="162" t="e">
        <f>ORÇAMENTO!#REF!</f>
        <v>#REF!</v>
      </c>
      <c r="B21" s="158" t="e">
        <f>B22</f>
        <v>#REF!</v>
      </c>
      <c r="C21" s="159" t="s">
        <v>45</v>
      </c>
      <c r="D21" s="159" t="s">
        <v>56</v>
      </c>
      <c r="E21" s="160"/>
      <c r="F21" s="161"/>
      <c r="G21" s="163">
        <f>3.08*1.7448</f>
        <v>5.3739840000000001</v>
      </c>
    </row>
    <row r="22" spans="1:7" ht="13.5" hidden="1" customHeight="1">
      <c r="A22" s="331" t="e">
        <f>ORÇAMENTO!#REF!</f>
        <v>#REF!</v>
      </c>
      <c r="B22" s="320" t="e">
        <f>ORÇAMENTO!#REF!</f>
        <v>#REF!</v>
      </c>
      <c r="C22" s="321" t="s">
        <v>47</v>
      </c>
      <c r="D22" s="321" t="s">
        <v>57</v>
      </c>
      <c r="E22" s="332">
        <v>190</v>
      </c>
      <c r="F22" s="333">
        <f>12.05/1.7448</f>
        <v>6.9062356717102258</v>
      </c>
      <c r="G22" s="324">
        <f>E22*F22</f>
        <v>1312.1847776249429</v>
      </c>
    </row>
    <row r="23" spans="1:7" ht="13.5" hidden="1" customHeight="1">
      <c r="A23" s="454" t="s">
        <v>48</v>
      </c>
      <c r="B23" s="455"/>
      <c r="C23" s="455"/>
      <c r="D23" s="455"/>
      <c r="E23" s="455"/>
      <c r="F23" s="455"/>
      <c r="G23" s="351">
        <f>G22</f>
        <v>1312.1847776249429</v>
      </c>
    </row>
    <row r="24" spans="1:7" ht="13.5" hidden="1" customHeight="1">
      <c r="A24" s="454" t="s">
        <v>58</v>
      </c>
      <c r="B24" s="455"/>
      <c r="C24" s="455"/>
      <c r="D24" s="455"/>
      <c r="E24" s="455"/>
      <c r="F24" s="455"/>
      <c r="G24" s="351">
        <v>0</v>
      </c>
    </row>
    <row r="25" spans="1:7" ht="13.5" hidden="1" customHeight="1">
      <c r="A25" s="454" t="s">
        <v>49</v>
      </c>
      <c r="B25" s="455"/>
      <c r="C25" s="455"/>
      <c r="D25" s="455"/>
      <c r="E25" s="455"/>
      <c r="F25" s="455"/>
      <c r="G25" s="325">
        <f>SUM(G23:G24)</f>
        <v>1312.1847776249429</v>
      </c>
    </row>
    <row r="26" spans="1:7" ht="13.5" hidden="1" customHeight="1">
      <c r="A26" s="459" t="s">
        <v>59</v>
      </c>
      <c r="B26" s="460"/>
      <c r="C26" s="460"/>
      <c r="D26" s="460"/>
      <c r="E26" s="467"/>
      <c r="F26" s="334">
        <v>0.3</v>
      </c>
      <c r="G26" s="351">
        <f>G25*F26</f>
        <v>393.65543328748282</v>
      </c>
    </row>
    <row r="27" spans="1:7" ht="13.5" hidden="1" customHeight="1">
      <c r="A27" s="459" t="s">
        <v>51</v>
      </c>
      <c r="B27" s="460"/>
      <c r="C27" s="460"/>
      <c r="D27" s="460"/>
      <c r="E27" s="460"/>
      <c r="F27" s="326">
        <v>0.74480000000000002</v>
      </c>
      <c r="G27" s="351">
        <f>F27*G23</f>
        <v>977.31522237505749</v>
      </c>
    </row>
    <row r="28" spans="1:7" ht="13.5" hidden="1" customHeight="1">
      <c r="A28" s="400"/>
      <c r="B28" s="401"/>
      <c r="C28" s="401"/>
      <c r="D28" s="401"/>
      <c r="E28" s="402" t="str">
        <f>'Adicionais e Encargos compl'!$A$13</f>
        <v>AUXILIO ALIMENTAÇÃO</v>
      </c>
      <c r="F28" s="327">
        <f>'Adicionais e Encargos compl'!$B$17</f>
        <v>0.18738574040219377</v>
      </c>
      <c r="G28" s="351">
        <f>G23*F28</f>
        <v>245.88471609973791</v>
      </c>
    </row>
    <row r="29" spans="1:7" ht="13.5" hidden="1" customHeight="1">
      <c r="A29" s="400"/>
      <c r="B29" s="401"/>
      <c r="C29" s="401"/>
      <c r="D29" s="401"/>
      <c r="E29" s="402" t="str">
        <f>'Adicionais e Encargos compl'!$A$19</f>
        <v>VALE TRANSPORTE</v>
      </c>
      <c r="F29" s="327">
        <v>0</v>
      </c>
      <c r="G29" s="351">
        <f>G23*F29</f>
        <v>0</v>
      </c>
    </row>
    <row r="30" spans="1:7" ht="13.5" hidden="1" customHeight="1">
      <c r="A30" s="400"/>
      <c r="B30" s="401"/>
      <c r="C30" s="401"/>
      <c r="D30" s="401"/>
      <c r="E30" s="402" t="e">
        <f>'Adicionais e Encargos compl'!#REF!</f>
        <v>#REF!</v>
      </c>
      <c r="F30" s="327" t="e">
        <f>'Adicionais e Encargos compl'!#REF!</f>
        <v>#REF!</v>
      </c>
      <c r="G30" s="351" t="e">
        <f>G23*F30</f>
        <v>#REF!</v>
      </c>
    </row>
    <row r="31" spans="1:7" ht="13.5" hidden="1" customHeight="1">
      <c r="A31" s="400"/>
      <c r="B31" s="401"/>
      <c r="C31" s="349"/>
      <c r="D31" s="349"/>
      <c r="E31" s="350" t="e">
        <f>'Adicionais e Encargos compl'!#REF!</f>
        <v>#REF!</v>
      </c>
      <c r="F31" s="330" t="e">
        <f>'Adicionais e Encargos compl'!#REF!</f>
        <v>#REF!</v>
      </c>
      <c r="G31" s="318" t="e">
        <f>G23*F31</f>
        <v>#REF!</v>
      </c>
    </row>
    <row r="32" spans="1:7" ht="13.5" hidden="1" customHeight="1">
      <c r="A32" s="400"/>
      <c r="B32" s="401"/>
      <c r="C32" s="349"/>
      <c r="D32" s="349"/>
      <c r="E32" s="350" t="e">
        <f>'Adicionais e Encargos compl'!#REF!</f>
        <v>#REF!</v>
      </c>
      <c r="F32" s="330" t="e">
        <f>'Adicionais e Encargos compl'!#REF!</f>
        <v>#REF!</v>
      </c>
      <c r="G32" s="318" t="e">
        <f>G23*F32</f>
        <v>#REF!</v>
      </c>
    </row>
    <row r="33" spans="1:7" ht="13.5" hidden="1" customHeight="1">
      <c r="A33" s="400"/>
      <c r="B33" s="329"/>
      <c r="C33" s="329"/>
      <c r="D33" s="349"/>
      <c r="E33" s="350" t="e">
        <f>'Adicionais e Encargos compl'!#REF!</f>
        <v>#REF!</v>
      </c>
      <c r="F33" s="330" t="e">
        <f>'Adicionais e Encargos compl'!#REF!</f>
        <v>#REF!</v>
      </c>
      <c r="G33" s="318" t="e">
        <f>G23*F33</f>
        <v>#REF!</v>
      </c>
    </row>
    <row r="34" spans="1:7" ht="13.5" hidden="1" customHeight="1">
      <c r="A34" s="400"/>
      <c r="B34" s="401"/>
      <c r="C34" s="349"/>
      <c r="D34" s="349"/>
      <c r="E34" s="350" t="str">
        <f>'Adicionais e Encargos compl'!$A$26</f>
        <v>EPI/UNIFORME</v>
      </c>
      <c r="F34" s="330">
        <f>'Adicionais e Encargos compl'!$B$29</f>
        <v>2.9296160877513713E-2</v>
      </c>
      <c r="G34" s="318">
        <f>G23*F34</f>
        <v>38.441976346324878</v>
      </c>
    </row>
    <row r="35" spans="1:7" ht="13.5" hidden="1" customHeight="1">
      <c r="A35" s="454" t="s">
        <v>52</v>
      </c>
      <c r="B35" s="455"/>
      <c r="C35" s="455"/>
      <c r="D35" s="455"/>
      <c r="E35" s="455"/>
      <c r="F35" s="455"/>
      <c r="G35" s="351" t="e">
        <f>SUM(G26:G34)</f>
        <v>#REF!</v>
      </c>
    </row>
    <row r="36" spans="1:7" ht="13.5" hidden="1" customHeight="1">
      <c r="A36" s="454" t="s">
        <v>60</v>
      </c>
      <c r="B36" s="455"/>
      <c r="C36" s="455"/>
      <c r="D36" s="455"/>
      <c r="E36" s="455"/>
      <c r="F36" s="455"/>
      <c r="G36" s="325" t="e">
        <f>TRUNC(G25+G35,2)</f>
        <v>#REF!</v>
      </c>
    </row>
    <row r="37" spans="1:7" ht="13.5" hidden="1" customHeight="1">
      <c r="A37" s="454" t="s">
        <v>61</v>
      </c>
      <c r="B37" s="455"/>
      <c r="C37" s="455"/>
      <c r="D37" s="455"/>
      <c r="E37" s="455"/>
      <c r="F37" s="455"/>
      <c r="G37" s="351" t="e">
        <f>ORÇAMENTO!#REF!</f>
        <v>#REF!</v>
      </c>
    </row>
    <row r="38" spans="1:7" s="225" customFormat="1" ht="13.5" hidden="1" customHeight="1">
      <c r="A38" s="454" t="s">
        <v>62</v>
      </c>
      <c r="B38" s="455"/>
      <c r="C38" s="455"/>
      <c r="D38" s="455"/>
      <c r="E38" s="455"/>
      <c r="F38" s="455"/>
      <c r="G38" s="325" t="e">
        <f>TRUNC(G36*G37,2)</f>
        <v>#REF!</v>
      </c>
    </row>
  </sheetData>
  <mergeCells count="22">
    <mergeCell ref="A19:F19"/>
    <mergeCell ref="A1:G1"/>
    <mergeCell ref="A2:G2"/>
    <mergeCell ref="A3:G3"/>
    <mergeCell ref="A4:G4"/>
    <mergeCell ref="A5:G5"/>
    <mergeCell ref="A10:F10"/>
    <mergeCell ref="A11:F11"/>
    <mergeCell ref="A12:E12"/>
    <mergeCell ref="A13:D13"/>
    <mergeCell ref="A14:E14"/>
    <mergeCell ref="A18:F18"/>
    <mergeCell ref="A35:F35"/>
    <mergeCell ref="A36:F36"/>
    <mergeCell ref="A37:F37"/>
    <mergeCell ref="A38:F38"/>
    <mergeCell ref="A20:G20"/>
    <mergeCell ref="A23:F23"/>
    <mergeCell ref="A24:F24"/>
    <mergeCell ref="A25:F25"/>
    <mergeCell ref="A26:E26"/>
    <mergeCell ref="A27:E27"/>
  </mergeCells>
  <pageMargins left="0.59055118110236227" right="0.39370078740157483" top="0.39370078740157483" bottom="0.39370078740157483" header="0" footer="0"/>
  <pageSetup paperSize="9" scale="83" fitToHeight="0"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/>
  <dimension ref="A1:O25"/>
  <sheetViews>
    <sheetView view="pageBreakPreview" zoomScaleNormal="100" zoomScaleSheetLayoutView="100" workbookViewId="0">
      <selection activeCell="A15" sqref="A15:E15"/>
    </sheetView>
  </sheetViews>
  <sheetFormatPr defaultRowHeight="15"/>
  <cols>
    <col min="1" max="1" width="13.28515625" customWidth="1"/>
    <col min="2" max="2" width="11" customWidth="1"/>
    <col min="3" max="3" width="22.42578125" customWidth="1"/>
    <col min="4" max="4" width="24.5703125" customWidth="1"/>
    <col min="5" max="5" width="23.5703125" customWidth="1"/>
  </cols>
  <sheetData>
    <row r="1" spans="1:15" ht="53.45" customHeight="1">
      <c r="A1" s="470"/>
      <c r="B1" s="471"/>
      <c r="C1" s="471"/>
      <c r="D1" s="471"/>
      <c r="E1" s="472"/>
    </row>
    <row r="2" spans="1:15" ht="15.75">
      <c r="A2" s="441" t="s">
        <v>0</v>
      </c>
      <c r="B2" s="442"/>
      <c r="C2" s="442"/>
      <c r="D2" s="442"/>
      <c r="E2" s="443"/>
    </row>
    <row r="3" spans="1:15" ht="15.75">
      <c r="A3" s="441" t="s">
        <v>1</v>
      </c>
      <c r="B3" s="442"/>
      <c r="C3" s="442"/>
      <c r="D3" s="442"/>
      <c r="E3" s="443"/>
    </row>
    <row r="4" spans="1:15" ht="16.5" thickBot="1">
      <c r="A4" s="444" t="s">
        <v>2</v>
      </c>
      <c r="B4" s="445"/>
      <c r="C4" s="445"/>
      <c r="D4" s="445"/>
      <c r="E4" s="446"/>
    </row>
    <row r="5" spans="1:15" ht="16.5" thickBot="1">
      <c r="A5" s="473" t="s">
        <v>66</v>
      </c>
      <c r="B5" s="474"/>
      <c r="C5" s="474"/>
      <c r="D5" s="474"/>
      <c r="E5" s="475"/>
    </row>
    <row r="6" spans="1:15">
      <c r="A6" s="33" t="s">
        <v>67</v>
      </c>
      <c r="B6" s="476" t="s">
        <v>68</v>
      </c>
      <c r="C6" s="476"/>
      <c r="D6" s="476"/>
      <c r="E6" s="34" t="s">
        <v>9</v>
      </c>
    </row>
    <row r="7" spans="1:15">
      <c r="A7" s="35" t="s">
        <v>69</v>
      </c>
      <c r="B7" s="468" t="s">
        <v>30</v>
      </c>
      <c r="C7" s="468"/>
      <c r="D7" s="468"/>
      <c r="E7" s="37">
        <f>SUM(E8:E11)</f>
        <v>0</v>
      </c>
    </row>
    <row r="8" spans="1:15">
      <c r="A8" s="38" t="s">
        <v>16</v>
      </c>
      <c r="B8" s="469" t="s">
        <v>70</v>
      </c>
      <c r="C8" s="469"/>
      <c r="D8" s="469"/>
      <c r="E8" s="39" t="s">
        <v>9</v>
      </c>
    </row>
    <row r="9" spans="1:15">
      <c r="A9" s="38" t="s">
        <v>17</v>
      </c>
      <c r="B9" s="469" t="s">
        <v>71</v>
      </c>
      <c r="C9" s="469"/>
      <c r="D9" s="469"/>
      <c r="E9" s="40" t="s">
        <v>9</v>
      </c>
      <c r="F9" s="240"/>
      <c r="G9" s="239"/>
    </row>
    <row r="10" spans="1:15">
      <c r="A10" s="38" t="s">
        <v>18</v>
      </c>
      <c r="B10" s="469" t="s">
        <v>72</v>
      </c>
      <c r="C10" s="469"/>
      <c r="D10" s="469"/>
      <c r="E10" s="40" t="s">
        <v>9</v>
      </c>
      <c r="F10" s="240"/>
      <c r="G10" s="239"/>
    </row>
    <row r="11" spans="1:15">
      <c r="A11" s="38" t="s">
        <v>73</v>
      </c>
      <c r="B11" s="469" t="s">
        <v>74</v>
      </c>
      <c r="C11" s="469"/>
      <c r="D11" s="469"/>
      <c r="E11" s="40" t="s">
        <v>9</v>
      </c>
    </row>
    <row r="12" spans="1:15">
      <c r="A12" s="335"/>
      <c r="B12" s="481"/>
      <c r="C12" s="481"/>
      <c r="D12" s="481"/>
      <c r="E12" s="336"/>
    </row>
    <row r="13" spans="1:15" ht="17.25">
      <c r="A13" s="42" t="s">
        <v>33</v>
      </c>
      <c r="B13" s="43"/>
      <c r="C13" s="44"/>
      <c r="D13" s="44"/>
      <c r="E13" s="45"/>
    </row>
    <row r="14" spans="1:15" ht="36.75" customHeight="1">
      <c r="A14" s="478" t="s">
        <v>75</v>
      </c>
      <c r="B14" s="479"/>
      <c r="C14" s="479"/>
      <c r="D14" s="479"/>
      <c r="E14" s="480"/>
    </row>
    <row r="15" spans="1:15" ht="30" customHeight="1">
      <c r="A15" s="478"/>
      <c r="B15" s="479"/>
      <c r="C15" s="479"/>
      <c r="D15" s="479"/>
      <c r="E15" s="480"/>
      <c r="G15" s="477"/>
      <c r="H15" s="477"/>
      <c r="I15" s="477"/>
      <c r="J15" s="477"/>
      <c r="K15" s="477"/>
      <c r="L15" s="477"/>
      <c r="M15" s="477"/>
      <c r="N15" s="477"/>
      <c r="O15" s="477"/>
    </row>
    <row r="16" spans="1:15" ht="21.75" customHeight="1">
      <c r="A16" s="478"/>
      <c r="B16" s="479"/>
      <c r="C16" s="479"/>
      <c r="D16" s="479"/>
      <c r="E16" s="480"/>
      <c r="G16" s="197"/>
      <c r="H16" s="197"/>
      <c r="I16" s="197"/>
      <c r="J16" s="197"/>
      <c r="K16" s="197"/>
      <c r="L16" s="198"/>
      <c r="M16" s="197"/>
      <c r="N16" s="199"/>
      <c r="O16" s="200"/>
    </row>
    <row r="17" spans="1:15" ht="15.75">
      <c r="A17" s="201"/>
      <c r="B17" s="202"/>
      <c r="C17" s="202"/>
      <c r="D17" s="202"/>
      <c r="E17" s="203"/>
      <c r="G17" s="477"/>
      <c r="H17" s="477"/>
      <c r="I17" s="477"/>
      <c r="J17" s="477"/>
      <c r="K17" s="477"/>
      <c r="L17" s="477"/>
      <c r="M17" s="477"/>
      <c r="N17" s="477"/>
      <c r="O17" s="477"/>
    </row>
    <row r="18" spans="1:15" ht="15.75">
      <c r="A18" s="478"/>
      <c r="B18" s="479"/>
      <c r="C18" s="479"/>
      <c r="D18" s="479"/>
      <c r="E18" s="480"/>
      <c r="G18" s="197"/>
      <c r="H18" s="197"/>
      <c r="I18" s="197"/>
      <c r="J18" s="197"/>
      <c r="K18" s="197"/>
      <c r="L18" s="198"/>
      <c r="M18" s="197"/>
      <c r="N18" s="199"/>
      <c r="O18" s="200"/>
    </row>
    <row r="19" spans="1:15" ht="15.75">
      <c r="A19" s="478"/>
      <c r="B19" s="479"/>
      <c r="C19" s="479"/>
      <c r="D19" s="479"/>
      <c r="E19" s="480"/>
      <c r="G19" s="477"/>
      <c r="H19" s="477"/>
      <c r="I19" s="477"/>
      <c r="J19" s="477"/>
      <c r="K19" s="477"/>
      <c r="L19" s="477"/>
      <c r="M19" s="477"/>
      <c r="N19" s="477"/>
      <c r="O19" s="477"/>
    </row>
    <row r="20" spans="1:15" ht="16.5" thickBot="1">
      <c r="A20" s="415"/>
      <c r="B20" s="47"/>
      <c r="C20" s="47"/>
      <c r="D20" s="47"/>
      <c r="E20" s="48"/>
      <c r="G20" s="197"/>
      <c r="H20" s="197"/>
      <c r="I20" s="197"/>
      <c r="J20" s="197"/>
      <c r="K20" s="197"/>
      <c r="L20" s="198"/>
      <c r="M20" s="197"/>
      <c r="N20" s="199"/>
      <c r="O20" s="200"/>
    </row>
    <row r="21" spans="1:15" ht="15.75">
      <c r="G21" s="477"/>
      <c r="H21" s="477"/>
      <c r="I21" s="477"/>
      <c r="J21" s="477"/>
      <c r="K21" s="477"/>
      <c r="L21" s="477"/>
      <c r="M21" s="477"/>
      <c r="N21" s="477"/>
      <c r="O21" s="477"/>
    </row>
    <row r="22" spans="1:15" ht="15.75">
      <c r="G22" s="197"/>
      <c r="H22" s="197"/>
      <c r="I22" s="197"/>
      <c r="J22" s="197"/>
      <c r="K22" s="197"/>
      <c r="L22" s="198"/>
      <c r="M22" s="197"/>
      <c r="N22" s="199"/>
      <c r="O22" s="200"/>
    </row>
    <row r="23" spans="1:15" ht="15.75">
      <c r="G23" s="477"/>
      <c r="H23" s="477"/>
      <c r="I23" s="477"/>
      <c r="J23" s="477"/>
      <c r="K23" s="477"/>
      <c r="L23" s="477"/>
      <c r="M23" s="477"/>
      <c r="N23" s="477"/>
      <c r="O23" s="477"/>
    </row>
    <row r="24" spans="1:15" ht="15.75">
      <c r="G24" s="197"/>
      <c r="H24" s="197"/>
      <c r="I24" s="197"/>
      <c r="J24" s="197"/>
      <c r="K24" s="197"/>
      <c r="L24" s="198"/>
      <c r="M24" s="197"/>
      <c r="N24" s="199"/>
      <c r="O24" s="200"/>
    </row>
    <row r="25" spans="1:15" ht="65.25" customHeight="1">
      <c r="G25" s="477"/>
      <c r="H25" s="477"/>
      <c r="I25" s="477"/>
      <c r="J25" s="477"/>
      <c r="K25" s="477"/>
      <c r="L25" s="477"/>
      <c r="M25" s="477"/>
      <c r="N25" s="477"/>
      <c r="O25" s="477"/>
    </row>
  </sheetData>
  <mergeCells count="23">
    <mergeCell ref="B11:D11"/>
    <mergeCell ref="B12:D12"/>
    <mergeCell ref="B10:D10"/>
    <mergeCell ref="A14:E14"/>
    <mergeCell ref="G21:O21"/>
    <mergeCell ref="G25:O25"/>
    <mergeCell ref="A15:E15"/>
    <mergeCell ref="G15:O15"/>
    <mergeCell ref="A16:E16"/>
    <mergeCell ref="G17:O17"/>
    <mergeCell ref="A18:E18"/>
    <mergeCell ref="A19:E19"/>
    <mergeCell ref="G19:O19"/>
    <mergeCell ref="G23:O23"/>
    <mergeCell ref="B7:D7"/>
    <mergeCell ref="B8:D8"/>
    <mergeCell ref="B9:D9"/>
    <mergeCell ref="A1:E1"/>
    <mergeCell ref="A2:E2"/>
    <mergeCell ref="A3:E3"/>
    <mergeCell ref="A4:E4"/>
    <mergeCell ref="A5:E5"/>
    <mergeCell ref="B6:D6"/>
  </mergeCells>
  <pageMargins left="0.511811024" right="0.511811024" top="0.78740157499999996" bottom="0.78740157499999996" header="0.31496062000000002" footer="0.31496062000000002"/>
  <pageSetup paperSize="9" scale="97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5">
    <tabColor rgb="FF0070C0"/>
    <pageSetUpPr fitToPage="1"/>
  </sheetPr>
  <dimension ref="A1:W143"/>
  <sheetViews>
    <sheetView view="pageBreakPreview" topLeftCell="A10" zoomScale="115" zoomScaleNormal="115" zoomScaleSheetLayoutView="115" workbookViewId="0">
      <pane ySplit="1" topLeftCell="A119" activePane="bottomLeft" state="frozen"/>
      <selection pane="bottomLeft" activeCell="G128" sqref="G128"/>
      <selection activeCell="G128" sqref="G128"/>
    </sheetView>
  </sheetViews>
  <sheetFormatPr defaultRowHeight="21.75" customHeight="1"/>
  <cols>
    <col min="1" max="1" width="8.28515625" customWidth="1"/>
    <col min="2" max="2" width="15.140625" customWidth="1"/>
    <col min="3" max="3" width="42.5703125" customWidth="1"/>
    <col min="4" max="4" width="10.5703125" customWidth="1"/>
    <col min="5" max="5" width="9" customWidth="1"/>
    <col min="6" max="6" width="9.42578125" customWidth="1"/>
    <col min="7" max="7" width="18.42578125" customWidth="1"/>
    <col min="8" max="8" width="9.85546875" customWidth="1"/>
    <col min="9" max="9" width="11" customWidth="1"/>
    <col min="10" max="10" width="10.140625" customWidth="1"/>
    <col min="11" max="11" width="13.28515625" customWidth="1"/>
    <col min="12" max="12" width="10.140625" style="262" customWidth="1"/>
    <col min="13" max="13" width="10.5703125" style="262" customWidth="1"/>
    <col min="23" max="23" width="12.85546875" customWidth="1"/>
  </cols>
  <sheetData>
    <row r="1" spans="1:12" ht="16.5" customHeight="1">
      <c r="A1" s="107"/>
      <c r="B1" s="205"/>
      <c r="C1" s="510" t="s">
        <v>76</v>
      </c>
      <c r="D1" s="511"/>
      <c r="E1" s="511"/>
      <c r="F1" s="511"/>
      <c r="G1" s="511"/>
      <c r="H1" s="511"/>
      <c r="I1" s="511"/>
      <c r="J1" s="512"/>
      <c r="L1" s="417"/>
    </row>
    <row r="2" spans="1:12" ht="15" customHeight="1">
      <c r="A2" s="108"/>
      <c r="B2" s="206"/>
      <c r="C2" s="507" t="s">
        <v>77</v>
      </c>
      <c r="D2" s="508"/>
      <c r="E2" s="508"/>
      <c r="F2" s="508"/>
      <c r="G2" s="508"/>
      <c r="H2" s="508"/>
      <c r="I2" s="508"/>
      <c r="J2" s="509"/>
      <c r="L2" s="417"/>
    </row>
    <row r="3" spans="1:12" ht="14.25" customHeight="1">
      <c r="A3" s="108"/>
      <c r="B3" s="206"/>
      <c r="C3" s="504" t="s">
        <v>78</v>
      </c>
      <c r="D3" s="505"/>
      <c r="E3" s="505"/>
      <c r="F3" s="505"/>
      <c r="G3" s="505"/>
      <c r="H3" s="505"/>
      <c r="I3" s="505"/>
      <c r="J3" s="506"/>
      <c r="L3" s="417"/>
    </row>
    <row r="4" spans="1:12" ht="18" customHeight="1">
      <c r="A4" s="108"/>
      <c r="B4" s="206"/>
      <c r="C4" s="513" t="s">
        <v>79</v>
      </c>
      <c r="D4" s="514"/>
      <c r="E4" s="514"/>
      <c r="F4" s="514"/>
      <c r="G4" s="514"/>
      <c r="H4" s="514"/>
      <c r="I4" s="514"/>
      <c r="J4" s="515"/>
      <c r="L4" s="417"/>
    </row>
    <row r="5" spans="1:12" ht="16.5" customHeight="1">
      <c r="A5" s="109"/>
      <c r="B5" s="207"/>
      <c r="C5" s="516" t="s">
        <v>80</v>
      </c>
      <c r="D5" s="517"/>
      <c r="E5" s="517"/>
      <c r="F5" s="517"/>
      <c r="G5" s="517"/>
      <c r="H5" s="517"/>
      <c r="I5" s="517"/>
      <c r="J5" s="518"/>
      <c r="L5" s="417"/>
    </row>
    <row r="6" spans="1:12" ht="13.5" customHeight="1">
      <c r="A6" s="110" t="s">
        <v>81</v>
      </c>
      <c r="B6" s="208"/>
      <c r="C6" s="513" t="s">
        <v>82</v>
      </c>
      <c r="D6" s="514"/>
      <c r="E6" s="514"/>
      <c r="F6" s="514"/>
      <c r="G6" s="514"/>
      <c r="H6" s="514"/>
      <c r="I6" s="514"/>
      <c r="J6" s="515"/>
      <c r="L6" s="417"/>
    </row>
    <row r="7" spans="1:12" ht="42.75" customHeight="1" thickBot="1">
      <c r="A7" s="111"/>
      <c r="B7" s="209"/>
      <c r="C7" s="533" t="s">
        <v>83</v>
      </c>
      <c r="D7" s="534"/>
      <c r="E7" s="534"/>
      <c r="F7" s="534"/>
      <c r="G7" s="534"/>
      <c r="H7" s="534"/>
      <c r="I7" s="534"/>
      <c r="J7" s="535"/>
      <c r="L7" s="417"/>
    </row>
    <row r="8" spans="1:12" ht="15" customHeight="1">
      <c r="A8" s="204" t="s">
        <v>84</v>
      </c>
      <c r="B8" s="50"/>
      <c r="C8" s="497" t="s">
        <v>85</v>
      </c>
      <c r="D8" s="528"/>
      <c r="E8" s="528"/>
      <c r="F8" s="529"/>
      <c r="G8" s="531" t="s">
        <v>86</v>
      </c>
      <c r="H8" s="531"/>
      <c r="I8" s="497" t="s">
        <v>87</v>
      </c>
      <c r="J8" s="498"/>
      <c r="L8" s="417"/>
    </row>
    <row r="9" spans="1:12" ht="17.25" customHeight="1" thickBot="1">
      <c r="A9" s="215"/>
      <c r="B9" s="216"/>
      <c r="C9" s="530"/>
      <c r="D9" s="530"/>
      <c r="E9" s="530"/>
      <c r="F9" s="530"/>
      <c r="G9" s="532">
        <v>42138</v>
      </c>
      <c r="H9" s="532"/>
      <c r="I9" s="500">
        <v>0</v>
      </c>
      <c r="J9" s="501"/>
      <c r="L9" s="417"/>
    </row>
    <row r="10" spans="1:12" ht="18" customHeight="1" thickBot="1">
      <c r="A10" s="3" t="s">
        <v>4</v>
      </c>
      <c r="B10" s="519" t="s">
        <v>5</v>
      </c>
      <c r="C10" s="520"/>
      <c r="D10" s="4" t="s">
        <v>88</v>
      </c>
      <c r="E10" s="5" t="s">
        <v>89</v>
      </c>
      <c r="F10" s="6" t="s">
        <v>7</v>
      </c>
      <c r="G10" s="6" t="s">
        <v>8</v>
      </c>
      <c r="H10" s="7" t="s">
        <v>9</v>
      </c>
      <c r="I10" s="502" t="s">
        <v>10</v>
      </c>
      <c r="J10" s="503"/>
      <c r="L10" s="417"/>
    </row>
    <row r="11" spans="1:12" ht="18" customHeight="1">
      <c r="A11" s="226" t="s">
        <v>14</v>
      </c>
      <c r="B11" s="499" t="s">
        <v>15</v>
      </c>
      <c r="C11" s="499"/>
      <c r="D11" s="227"/>
      <c r="E11" s="228"/>
      <c r="F11" s="238"/>
      <c r="G11" s="238" t="e">
        <f>SUM(G12:G16)</f>
        <v>#REF!</v>
      </c>
      <c r="H11" s="244" t="e">
        <f>SUM(H12:H16)</f>
        <v>#REF!</v>
      </c>
      <c r="I11" s="439"/>
      <c r="J11" s="440"/>
      <c r="L11" s="417"/>
    </row>
    <row r="12" spans="1:12" ht="14.25" customHeight="1">
      <c r="A12" s="301" t="s">
        <v>16</v>
      </c>
      <c r="B12" s="496" t="s">
        <v>90</v>
      </c>
      <c r="C12" s="496"/>
      <c r="D12" s="302" t="s">
        <v>91</v>
      </c>
      <c r="E12" s="303" t="e">
        <f>#REF!*12</f>
        <v>#REF!</v>
      </c>
      <c r="F12" s="303" t="e">
        <f>'COMP CUSTO'!G27</f>
        <v>#REF!</v>
      </c>
      <c r="G12" s="304" t="e">
        <f>TRUNC(E12*F12,2)</f>
        <v>#REF!</v>
      </c>
      <c r="H12" s="305" t="e">
        <f>G12/$G$124</f>
        <v>#REF!</v>
      </c>
      <c r="I12" s="434" t="s">
        <v>92</v>
      </c>
      <c r="J12" s="435"/>
      <c r="L12" s="417"/>
    </row>
    <row r="13" spans="1:12" ht="14.25" customHeight="1">
      <c r="A13" s="301" t="s">
        <v>17</v>
      </c>
      <c r="B13" s="496" t="s">
        <v>93</v>
      </c>
      <c r="C13" s="496"/>
      <c r="D13" s="302" t="s">
        <v>91</v>
      </c>
      <c r="E13" s="303" t="e">
        <f>(#REF!-8)*12</f>
        <v>#REF!</v>
      </c>
      <c r="F13" s="303" t="e">
        <f>'COMP CUSTO'!G47</f>
        <v>#REF!</v>
      </c>
      <c r="G13" s="304" t="e">
        <f>TRUNC(E13*F13,2)</f>
        <v>#REF!</v>
      </c>
      <c r="H13" s="305" t="e">
        <f>G13/$G$124</f>
        <v>#REF!</v>
      </c>
      <c r="I13" s="434" t="s">
        <v>92</v>
      </c>
      <c r="J13" s="435"/>
      <c r="L13" s="417" t="s">
        <v>94</v>
      </c>
    </row>
    <row r="14" spans="1:12" ht="14.25" customHeight="1">
      <c r="A14" s="301" t="s">
        <v>18</v>
      </c>
      <c r="B14" s="496" t="s">
        <v>95</v>
      </c>
      <c r="C14" s="496"/>
      <c r="D14" s="302" t="s">
        <v>91</v>
      </c>
      <c r="E14" s="303">
        <f>8*12</f>
        <v>96</v>
      </c>
      <c r="F14" s="303" t="e">
        <f>'COMP CUSTO'!G85</f>
        <v>#REF!</v>
      </c>
      <c r="G14" s="304" t="e">
        <f>TRUNC(E14*F14,2)</f>
        <v>#REF!</v>
      </c>
      <c r="H14" s="305" t="e">
        <f>G14/$G$124</f>
        <v>#REF!</v>
      </c>
      <c r="I14" s="434" t="s">
        <v>92</v>
      </c>
      <c r="J14" s="435"/>
      <c r="L14" s="417" t="s">
        <v>96</v>
      </c>
    </row>
    <row r="15" spans="1:12" ht="14.25" customHeight="1">
      <c r="A15" s="301" t="s">
        <v>73</v>
      </c>
      <c r="B15" s="496" t="s">
        <v>97</v>
      </c>
      <c r="C15" s="496"/>
      <c r="D15" s="302" t="s">
        <v>91</v>
      </c>
      <c r="E15" s="303">
        <f>2*12</f>
        <v>24</v>
      </c>
      <c r="F15" s="303" t="e">
        <f>'COMP CUSTO'!G124</f>
        <v>#REF!</v>
      </c>
      <c r="G15" s="304" t="e">
        <f>TRUNC(E15*F15,2)</f>
        <v>#REF!</v>
      </c>
      <c r="H15" s="305" t="e">
        <f>G15/$G$124</f>
        <v>#REF!</v>
      </c>
      <c r="I15" s="434" t="s">
        <v>92</v>
      </c>
      <c r="J15" s="435"/>
      <c r="L15" s="417"/>
    </row>
    <row r="16" spans="1:12" ht="14.25" customHeight="1">
      <c r="A16" s="301" t="s">
        <v>98</v>
      </c>
      <c r="B16" s="496" t="s">
        <v>99</v>
      </c>
      <c r="C16" s="496"/>
      <c r="D16" s="302" t="s">
        <v>91</v>
      </c>
      <c r="E16" s="303">
        <f>2*12</f>
        <v>24</v>
      </c>
      <c r="F16" s="303" t="e">
        <f>'COMP CUSTOS_SLS'!#REF!</f>
        <v>#REF!</v>
      </c>
      <c r="G16" s="304" t="e">
        <f>TRUNC(E16*F16,2)</f>
        <v>#REF!</v>
      </c>
      <c r="H16" s="305" t="e">
        <f>G16/$G$124</f>
        <v>#REF!</v>
      </c>
      <c r="I16" s="287" t="s">
        <v>100</v>
      </c>
      <c r="J16" s="224">
        <v>2706</v>
      </c>
      <c r="L16" s="417"/>
    </row>
    <row r="17" spans="1:23" ht="14.25" customHeight="1">
      <c r="A17" s="231"/>
      <c r="B17" s="232"/>
      <c r="C17" s="232"/>
      <c r="D17" s="232"/>
      <c r="E17" s="232"/>
      <c r="F17" s="232"/>
      <c r="G17" s="232"/>
      <c r="H17" s="232"/>
      <c r="I17" s="232"/>
      <c r="J17" s="233"/>
      <c r="K17" s="240" t="e">
        <f>H11+H18+H111</f>
        <v>#REF!</v>
      </c>
      <c r="L17" s="273" t="s">
        <v>101</v>
      </c>
      <c r="M17" s="273" t="s">
        <v>102</v>
      </c>
    </row>
    <row r="18" spans="1:23" ht="23.25" customHeight="1">
      <c r="A18" s="313" t="s">
        <v>19</v>
      </c>
      <c r="B18" s="429" t="s">
        <v>103</v>
      </c>
      <c r="C18" s="429"/>
      <c r="D18" s="314"/>
      <c r="E18" s="315"/>
      <c r="F18" s="316"/>
      <c r="G18" s="316" t="e">
        <f>SUM(G19:G109)</f>
        <v>#REF!</v>
      </c>
      <c r="H18" s="317" t="e">
        <f>SUM(H19:H108)</f>
        <v>#REF!</v>
      </c>
      <c r="I18" s="430"/>
      <c r="J18" s="431"/>
      <c r="K18">
        <f>150/40</f>
        <v>3.75</v>
      </c>
      <c r="L18" s="276">
        <f>W62</f>
        <v>803.06859999999995</v>
      </c>
      <c r="M18" s="276">
        <f>W22</f>
        <v>966.16060000000004</v>
      </c>
    </row>
    <row r="19" spans="1:23" ht="12.75" customHeight="1">
      <c r="A19" s="301" t="s">
        <v>21</v>
      </c>
      <c r="B19" s="489" t="s">
        <v>104</v>
      </c>
      <c r="C19" s="490"/>
      <c r="D19" s="278" t="s">
        <v>105</v>
      </c>
      <c r="E19" s="277">
        <f>(24+6+10)*12</f>
        <v>480</v>
      </c>
      <c r="F19" s="303">
        <f>M19</f>
        <v>30.799001928353324</v>
      </c>
      <c r="G19" s="304">
        <f t="shared" ref="G19:G44" si="0">TRUNC(E19*F19,2)</f>
        <v>14783.52</v>
      </c>
      <c r="H19" s="305" t="e">
        <f t="shared" ref="H19:H50" si="1">G19/$G$124</f>
        <v>#REF!</v>
      </c>
      <c r="I19" s="482" t="s">
        <v>106</v>
      </c>
      <c r="J19" s="483"/>
      <c r="L19" s="274">
        <v>25.6</v>
      </c>
      <c r="M19" s="275">
        <f>((($M$18-$L$18)/$L$18)*L19)+L19</f>
        <v>30.799001928353324</v>
      </c>
      <c r="S19" s="486" t="s">
        <v>107</v>
      </c>
      <c r="T19" s="410" t="s">
        <v>108</v>
      </c>
      <c r="U19" s="410" t="s">
        <v>109</v>
      </c>
      <c r="V19" s="410" t="s">
        <v>110</v>
      </c>
      <c r="W19" s="410" t="s">
        <v>111</v>
      </c>
    </row>
    <row r="20" spans="1:23" ht="12.75" customHeight="1">
      <c r="A20" s="301" t="s">
        <v>112</v>
      </c>
      <c r="B20" s="489" t="s">
        <v>113</v>
      </c>
      <c r="C20" s="490"/>
      <c r="D20" s="278" t="s">
        <v>114</v>
      </c>
      <c r="E20" s="277">
        <f>((10+4+4))*12</f>
        <v>216</v>
      </c>
      <c r="F20" s="303">
        <v>8.69</v>
      </c>
      <c r="G20" s="304">
        <f t="shared" si="0"/>
        <v>1877.04</v>
      </c>
      <c r="H20" s="305" t="e">
        <f t="shared" si="1"/>
        <v>#REF!</v>
      </c>
      <c r="I20" s="484" t="s">
        <v>115</v>
      </c>
      <c r="J20" s="485"/>
      <c r="L20" s="274"/>
      <c r="M20" s="275">
        <f t="shared" ref="M20:M80" si="2">((($M$18-$L$18)/$L$18)*L20)+L20</f>
        <v>0</v>
      </c>
      <c r="S20" s="487"/>
      <c r="T20" s="411" t="s">
        <v>116</v>
      </c>
      <c r="U20" s="411" t="s">
        <v>117</v>
      </c>
      <c r="V20" s="411" t="s">
        <v>116</v>
      </c>
      <c r="W20" s="411" t="s">
        <v>118</v>
      </c>
    </row>
    <row r="21" spans="1:23" ht="12.75" customHeight="1">
      <c r="A21" s="301" t="s">
        <v>119</v>
      </c>
      <c r="B21" s="489" t="s">
        <v>120</v>
      </c>
      <c r="C21" s="490"/>
      <c r="D21" s="278" t="s">
        <v>121</v>
      </c>
      <c r="E21" s="277">
        <f>(10+20+15)*12</f>
        <v>540</v>
      </c>
      <c r="F21" s="303">
        <v>3.48</v>
      </c>
      <c r="G21" s="304">
        <f t="shared" si="0"/>
        <v>1879.2</v>
      </c>
      <c r="H21" s="305" t="e">
        <f t="shared" si="1"/>
        <v>#REF!</v>
      </c>
      <c r="I21" s="484" t="s">
        <v>115</v>
      </c>
      <c r="J21" s="485"/>
      <c r="L21" s="274"/>
      <c r="M21" s="275">
        <f t="shared" si="2"/>
        <v>0</v>
      </c>
      <c r="S21" s="488"/>
      <c r="T21" s="282"/>
      <c r="U21" s="282"/>
      <c r="V21" s="282"/>
      <c r="W21" s="412" t="s">
        <v>122</v>
      </c>
    </row>
    <row r="22" spans="1:23" ht="12.75" customHeight="1">
      <c r="A22" s="301" t="s">
        <v>123</v>
      </c>
      <c r="B22" s="489" t="s">
        <v>124</v>
      </c>
      <c r="C22" s="490"/>
      <c r="D22" s="278" t="s">
        <v>121</v>
      </c>
      <c r="E22" s="277">
        <f>(4+6+5)*12</f>
        <v>180</v>
      </c>
      <c r="F22" s="303">
        <v>35.6</v>
      </c>
      <c r="G22" s="304">
        <f t="shared" si="0"/>
        <v>6408</v>
      </c>
      <c r="H22" s="305" t="e">
        <f t="shared" si="1"/>
        <v>#REF!</v>
      </c>
      <c r="I22" s="484" t="s">
        <v>115</v>
      </c>
      <c r="J22" s="485"/>
      <c r="L22" s="274"/>
      <c r="M22" s="275">
        <f t="shared" si="2"/>
        <v>0</v>
      </c>
      <c r="S22" s="283">
        <v>42095</v>
      </c>
      <c r="T22" s="284">
        <v>1.1000000000000001</v>
      </c>
      <c r="U22" s="284">
        <v>4.7191999999999998</v>
      </c>
      <c r="V22" s="284">
        <v>7.2148000000000003</v>
      </c>
      <c r="W22" s="284">
        <v>966.16060000000004</v>
      </c>
    </row>
    <row r="23" spans="1:23" ht="12.75" customHeight="1">
      <c r="A23" s="301" t="s">
        <v>125</v>
      </c>
      <c r="B23" s="489" t="s">
        <v>126</v>
      </c>
      <c r="C23" s="490"/>
      <c r="D23" s="278" t="s">
        <v>121</v>
      </c>
      <c r="E23" s="277">
        <f>(10)*12</f>
        <v>120</v>
      </c>
      <c r="F23" s="303">
        <v>32.590000000000003</v>
      </c>
      <c r="G23" s="304">
        <f t="shared" si="0"/>
        <v>3910.8</v>
      </c>
      <c r="H23" s="305" t="e">
        <f t="shared" si="1"/>
        <v>#REF!</v>
      </c>
      <c r="I23" s="484" t="s">
        <v>127</v>
      </c>
      <c r="J23" s="485"/>
      <c r="L23" s="274"/>
      <c r="M23" s="275">
        <f t="shared" si="2"/>
        <v>0</v>
      </c>
      <c r="S23" s="283">
        <v>42064</v>
      </c>
      <c r="T23" s="284">
        <v>0.7</v>
      </c>
      <c r="U23" s="284">
        <v>3.5798000000000001</v>
      </c>
      <c r="V23" s="284">
        <v>6.6104000000000003</v>
      </c>
      <c r="W23" s="284">
        <v>955.64850000000001</v>
      </c>
    </row>
    <row r="24" spans="1:23" ht="12.75" customHeight="1">
      <c r="A24" s="301" t="s">
        <v>128</v>
      </c>
      <c r="B24" s="489" t="s">
        <v>129</v>
      </c>
      <c r="C24" s="490"/>
      <c r="D24" s="278" t="s">
        <v>121</v>
      </c>
      <c r="E24" s="277">
        <f>(10+10+6)*12</f>
        <v>312</v>
      </c>
      <c r="F24" s="303">
        <v>21.09</v>
      </c>
      <c r="G24" s="304">
        <f t="shared" si="0"/>
        <v>6580.08</v>
      </c>
      <c r="H24" s="305" t="e">
        <f t="shared" si="1"/>
        <v>#REF!</v>
      </c>
      <c r="I24" s="484" t="s">
        <v>127</v>
      </c>
      <c r="J24" s="485"/>
      <c r="L24" s="274"/>
      <c r="M24" s="275">
        <f t="shared" si="2"/>
        <v>0</v>
      </c>
      <c r="S24" s="283">
        <v>42036</v>
      </c>
      <c r="T24" s="284">
        <v>1.22</v>
      </c>
      <c r="U24" s="284">
        <v>2.8597999999999999</v>
      </c>
      <c r="V24" s="284">
        <v>6.6527000000000003</v>
      </c>
      <c r="W24" s="284">
        <v>949.00540000000001</v>
      </c>
    </row>
    <row r="25" spans="1:23" ht="12.75" customHeight="1">
      <c r="A25" s="301" t="s">
        <v>130</v>
      </c>
      <c r="B25" s="489" t="s">
        <v>131</v>
      </c>
      <c r="C25" s="490"/>
      <c r="D25" s="278" t="s">
        <v>114</v>
      </c>
      <c r="E25" s="277">
        <f>(12+24+22)*12</f>
        <v>696</v>
      </c>
      <c r="F25" s="303">
        <f t="shared" ref="F25:F80" si="3">M25</f>
        <v>11.549625723132495</v>
      </c>
      <c r="G25" s="304">
        <f>TRUNC(E25*F25,2)</f>
        <v>8038.53</v>
      </c>
      <c r="H25" s="305" t="e">
        <f t="shared" si="1"/>
        <v>#REF!</v>
      </c>
      <c r="I25" s="482" t="s">
        <v>106</v>
      </c>
      <c r="J25" s="483"/>
      <c r="L25" s="274">
        <v>9.6</v>
      </c>
      <c r="M25" s="275">
        <f t="shared" si="2"/>
        <v>11.549625723132495</v>
      </c>
      <c r="S25" s="283">
        <v>42005</v>
      </c>
      <c r="T25" s="284">
        <v>1.62</v>
      </c>
      <c r="U25" s="284">
        <v>1.62</v>
      </c>
      <c r="V25" s="284">
        <v>5.9150999999999998</v>
      </c>
      <c r="W25" s="284">
        <v>937.56709999999998</v>
      </c>
    </row>
    <row r="26" spans="1:23" ht="12.75" customHeight="1">
      <c r="A26" s="301" t="s">
        <v>132</v>
      </c>
      <c r="B26" s="489" t="s">
        <v>133</v>
      </c>
      <c r="C26" s="490"/>
      <c r="D26" s="278" t="s">
        <v>121</v>
      </c>
      <c r="E26" s="277">
        <f>(12+8+7)*12</f>
        <v>324</v>
      </c>
      <c r="F26" s="303">
        <v>6.4</v>
      </c>
      <c r="G26" s="304">
        <f t="shared" si="0"/>
        <v>2073.6</v>
      </c>
      <c r="H26" s="305" t="e">
        <f t="shared" si="1"/>
        <v>#REF!</v>
      </c>
      <c r="I26" s="484" t="s">
        <v>115</v>
      </c>
      <c r="J26" s="485"/>
      <c r="L26" s="274">
        <v>4.2</v>
      </c>
      <c r="M26" s="275">
        <f t="shared" si="2"/>
        <v>5.0529612538704676</v>
      </c>
      <c r="S26" s="283">
        <v>41974</v>
      </c>
      <c r="T26" s="284">
        <v>0.3</v>
      </c>
      <c r="U26" s="284">
        <v>5.2064000000000004</v>
      </c>
      <c r="V26" s="284">
        <v>5.2064000000000004</v>
      </c>
      <c r="W26" s="284">
        <v>922.62070000000006</v>
      </c>
    </row>
    <row r="27" spans="1:23" ht="12.75" customHeight="1">
      <c r="A27" s="301" t="s">
        <v>134</v>
      </c>
      <c r="B27" s="489" t="s">
        <v>135</v>
      </c>
      <c r="C27" s="490"/>
      <c r="D27" s="278" t="s">
        <v>121</v>
      </c>
      <c r="E27" s="277">
        <f>(12+10+10)*12</f>
        <v>384</v>
      </c>
      <c r="F27" s="303">
        <f t="shared" si="3"/>
        <v>3.2483322346310146</v>
      </c>
      <c r="G27" s="304">
        <f>TRUNC(E27*F27,2)</f>
        <v>1247.3499999999999</v>
      </c>
      <c r="H27" s="305" t="e">
        <f t="shared" si="1"/>
        <v>#REF!</v>
      </c>
      <c r="I27" s="482" t="s">
        <v>106</v>
      </c>
      <c r="J27" s="483"/>
      <c r="L27" s="274">
        <v>2.7</v>
      </c>
      <c r="M27" s="275">
        <f t="shared" si="2"/>
        <v>3.2483322346310146</v>
      </c>
      <c r="S27" s="283">
        <v>41944</v>
      </c>
      <c r="T27" s="284">
        <v>0.69</v>
      </c>
      <c r="U27" s="284">
        <v>4.8917000000000002</v>
      </c>
      <c r="V27" s="284">
        <v>5.5735000000000001</v>
      </c>
      <c r="W27" s="284">
        <v>919.86109999999996</v>
      </c>
    </row>
    <row r="28" spans="1:23" ht="12.75" customHeight="1">
      <c r="A28" s="301" t="s">
        <v>136</v>
      </c>
      <c r="B28" s="489" t="s">
        <v>137</v>
      </c>
      <c r="C28" s="490"/>
      <c r="D28" s="278" t="s">
        <v>121</v>
      </c>
      <c r="E28" s="277">
        <f>(10+10+10)*12</f>
        <v>360</v>
      </c>
      <c r="F28" s="303">
        <f t="shared" si="3"/>
        <v>18.046290192394526</v>
      </c>
      <c r="G28" s="304">
        <f>TRUNC(E28*F28,2)</f>
        <v>6496.66</v>
      </c>
      <c r="H28" s="305" t="e">
        <f t="shared" si="1"/>
        <v>#REF!</v>
      </c>
      <c r="I28" s="482" t="s">
        <v>106</v>
      </c>
      <c r="J28" s="483"/>
      <c r="L28" s="274">
        <v>15</v>
      </c>
      <c r="M28" s="275">
        <f t="shared" si="2"/>
        <v>18.046290192394526</v>
      </c>
      <c r="S28" s="283">
        <v>41913</v>
      </c>
      <c r="T28" s="284">
        <v>0.37</v>
      </c>
      <c r="U28" s="284">
        <v>4.1729000000000003</v>
      </c>
      <c r="V28" s="284">
        <v>5.3323999999999998</v>
      </c>
      <c r="W28" s="284">
        <v>913.5575</v>
      </c>
    </row>
    <row r="29" spans="1:23" ht="12.75" customHeight="1">
      <c r="A29" s="301" t="s">
        <v>138</v>
      </c>
      <c r="B29" s="489" t="s">
        <v>139</v>
      </c>
      <c r="C29" s="490"/>
      <c r="D29" s="278" t="s">
        <v>121</v>
      </c>
      <c r="E29" s="277">
        <f>(8+10+8)*12</f>
        <v>312</v>
      </c>
      <c r="F29" s="303">
        <f t="shared" si="3"/>
        <v>6.4846336091337653</v>
      </c>
      <c r="G29" s="304">
        <f>TRUNC(E29*F29,2)</f>
        <v>2023.2</v>
      </c>
      <c r="H29" s="305" t="e">
        <f t="shared" si="1"/>
        <v>#REF!</v>
      </c>
      <c r="I29" s="482" t="s">
        <v>106</v>
      </c>
      <c r="J29" s="483"/>
      <c r="L29" s="274">
        <v>5.39</v>
      </c>
      <c r="M29" s="275">
        <f t="shared" si="2"/>
        <v>6.4846336091337653</v>
      </c>
      <c r="S29" s="283">
        <v>41883</v>
      </c>
      <c r="T29" s="284">
        <v>0.21</v>
      </c>
      <c r="U29" s="284">
        <v>3.7888999999999999</v>
      </c>
      <c r="V29" s="284">
        <v>5.4478</v>
      </c>
      <c r="W29" s="284">
        <v>910.18979999999999</v>
      </c>
    </row>
    <row r="30" spans="1:23" ht="12.75" customHeight="1">
      <c r="A30" s="301" t="s">
        <v>140</v>
      </c>
      <c r="B30" s="489" t="s">
        <v>141</v>
      </c>
      <c r="C30" s="490"/>
      <c r="D30" s="278" t="s">
        <v>142</v>
      </c>
      <c r="E30" s="277">
        <f>(12+10+10)*12</f>
        <v>384</v>
      </c>
      <c r="F30" s="303">
        <f t="shared" si="3"/>
        <v>0.36092580384789047</v>
      </c>
      <c r="G30" s="304">
        <f t="shared" si="0"/>
        <v>138.59</v>
      </c>
      <c r="H30" s="305" t="e">
        <f t="shared" si="1"/>
        <v>#REF!</v>
      </c>
      <c r="I30" s="482" t="s">
        <v>106</v>
      </c>
      <c r="J30" s="483"/>
      <c r="L30" s="274">
        <v>0.3</v>
      </c>
      <c r="M30" s="275">
        <f t="shared" si="2"/>
        <v>0.36092580384789047</v>
      </c>
      <c r="S30" s="283">
        <v>41852</v>
      </c>
      <c r="T30" s="284">
        <v>0.34</v>
      </c>
      <c r="U30" s="284">
        <v>3.5714000000000001</v>
      </c>
      <c r="V30" s="284">
        <v>5.4898999999999996</v>
      </c>
      <c r="W30" s="284">
        <v>908.28240000000005</v>
      </c>
    </row>
    <row r="31" spans="1:23" ht="12.75" customHeight="1">
      <c r="A31" s="301" t="s">
        <v>143</v>
      </c>
      <c r="B31" s="489" t="s">
        <v>144</v>
      </c>
      <c r="C31" s="490"/>
      <c r="D31" s="278" t="s">
        <v>142</v>
      </c>
      <c r="E31" s="277">
        <f>(5+2+2)*12</f>
        <v>108</v>
      </c>
      <c r="F31" s="303">
        <f t="shared" si="3"/>
        <v>1.2030860128263017</v>
      </c>
      <c r="G31" s="304">
        <f t="shared" si="0"/>
        <v>129.93</v>
      </c>
      <c r="H31" s="305" t="e">
        <f t="shared" si="1"/>
        <v>#REF!</v>
      </c>
      <c r="I31" s="482" t="s">
        <v>106</v>
      </c>
      <c r="J31" s="483"/>
      <c r="L31" s="274">
        <v>1</v>
      </c>
      <c r="M31" s="275">
        <f t="shared" si="2"/>
        <v>1.2030860128263017</v>
      </c>
      <c r="S31" s="283">
        <v>41821</v>
      </c>
      <c r="T31" s="284">
        <v>0.16</v>
      </c>
      <c r="U31" s="284">
        <v>3.2204999999999999</v>
      </c>
      <c r="V31" s="284">
        <v>5.3636999999999997</v>
      </c>
      <c r="W31" s="284">
        <v>905.2047</v>
      </c>
    </row>
    <row r="32" spans="1:23" ht="12.75" customHeight="1">
      <c r="A32" s="301" t="s">
        <v>145</v>
      </c>
      <c r="B32" s="489" t="s">
        <v>146</v>
      </c>
      <c r="C32" s="490"/>
      <c r="D32" s="278" t="s">
        <v>121</v>
      </c>
      <c r="E32" s="277">
        <f>(15+5+5)*12</f>
        <v>300</v>
      </c>
      <c r="F32" s="303">
        <f t="shared" si="3"/>
        <v>13.113637539806689</v>
      </c>
      <c r="G32" s="304">
        <f>TRUNC(E32*F32,2)</f>
        <v>3934.09</v>
      </c>
      <c r="H32" s="305" t="e">
        <f t="shared" si="1"/>
        <v>#REF!</v>
      </c>
      <c r="I32" s="482" t="s">
        <v>106</v>
      </c>
      <c r="J32" s="483"/>
      <c r="L32" s="274">
        <v>10.9</v>
      </c>
      <c r="M32" s="275">
        <f t="shared" si="2"/>
        <v>13.113637539806689</v>
      </c>
      <c r="S32" s="283">
        <v>41791</v>
      </c>
      <c r="T32" s="284">
        <v>0.04</v>
      </c>
      <c r="U32" s="284">
        <v>3.0556000000000001</v>
      </c>
      <c r="V32" s="284">
        <v>5.0587</v>
      </c>
      <c r="W32" s="284">
        <v>903.75869999999998</v>
      </c>
    </row>
    <row r="33" spans="1:23" ht="12.75" customHeight="1">
      <c r="A33" s="301" t="s">
        <v>147</v>
      </c>
      <c r="B33" s="489" t="s">
        <v>148</v>
      </c>
      <c r="C33" s="490"/>
      <c r="D33" s="278" t="s">
        <v>121</v>
      </c>
      <c r="E33" s="277">
        <f>(10+5+5)*12</f>
        <v>240</v>
      </c>
      <c r="F33" s="303">
        <f t="shared" si="3"/>
        <v>23.9414116552434</v>
      </c>
      <c r="G33" s="304">
        <f>TRUNC(E33*F33,2)</f>
        <v>5745.93</v>
      </c>
      <c r="H33" s="305" t="e">
        <f t="shared" si="1"/>
        <v>#REF!</v>
      </c>
      <c r="I33" s="482" t="s">
        <v>106</v>
      </c>
      <c r="J33" s="483"/>
      <c r="L33" s="274">
        <v>19.899999999999999</v>
      </c>
      <c r="M33" s="275">
        <f t="shared" si="2"/>
        <v>23.9414116552434</v>
      </c>
      <c r="S33" s="283">
        <v>41760</v>
      </c>
      <c r="T33" s="284">
        <v>0.25</v>
      </c>
      <c r="U33" s="284">
        <v>3.0144000000000002</v>
      </c>
      <c r="V33" s="284">
        <v>5.3526999999999996</v>
      </c>
      <c r="W33" s="284">
        <v>903.39739999999995</v>
      </c>
    </row>
    <row r="34" spans="1:23" ht="12.75" customHeight="1">
      <c r="A34" s="301" t="s">
        <v>149</v>
      </c>
      <c r="B34" s="489" t="s">
        <v>150</v>
      </c>
      <c r="C34" s="490"/>
      <c r="D34" s="278" t="s">
        <v>121</v>
      </c>
      <c r="E34" s="277">
        <f>(5+5+5)*12</f>
        <v>180</v>
      </c>
      <c r="F34" s="303">
        <f t="shared" si="3"/>
        <v>55.341956590009872</v>
      </c>
      <c r="G34" s="304">
        <f>TRUNC(E34*F34,2)</f>
        <v>9961.5499999999993</v>
      </c>
      <c r="H34" s="305" t="e">
        <f t="shared" si="1"/>
        <v>#REF!</v>
      </c>
      <c r="I34" s="482" t="s">
        <v>106</v>
      </c>
      <c r="J34" s="483"/>
      <c r="L34" s="274">
        <v>46</v>
      </c>
      <c r="M34" s="275">
        <f t="shared" si="2"/>
        <v>55.341956590009872</v>
      </c>
      <c r="S34" s="283">
        <v>41730</v>
      </c>
      <c r="T34" s="284">
        <v>0.53</v>
      </c>
      <c r="U34" s="284">
        <v>2.7574999999999998</v>
      </c>
      <c r="V34" s="284">
        <v>5.1951000000000001</v>
      </c>
      <c r="W34" s="284">
        <v>901.14449999999999</v>
      </c>
    </row>
    <row r="35" spans="1:23" ht="12.75" customHeight="1">
      <c r="A35" s="301" t="s">
        <v>151</v>
      </c>
      <c r="B35" s="489" t="s">
        <v>152</v>
      </c>
      <c r="C35" s="490"/>
      <c r="D35" s="278" t="s">
        <v>121</v>
      </c>
      <c r="E35" s="277">
        <f>(5+5+5)*12</f>
        <v>180</v>
      </c>
      <c r="F35" s="303">
        <f t="shared" si="3"/>
        <v>64.966644692620292</v>
      </c>
      <c r="G35" s="304">
        <f>TRUNC(E35*F35,2)</f>
        <v>11693.99</v>
      </c>
      <c r="H35" s="305" t="e">
        <f t="shared" si="1"/>
        <v>#REF!</v>
      </c>
      <c r="I35" s="482" t="s">
        <v>106</v>
      </c>
      <c r="J35" s="483"/>
      <c r="L35" s="274">
        <v>54</v>
      </c>
      <c r="M35" s="275">
        <f t="shared" si="2"/>
        <v>64.966644692620292</v>
      </c>
      <c r="S35" s="283">
        <v>41699</v>
      </c>
      <c r="T35" s="284">
        <v>0.74</v>
      </c>
      <c r="U35" s="284">
        <v>2.2157</v>
      </c>
      <c r="V35" s="284">
        <v>4.9335000000000004</v>
      </c>
      <c r="W35" s="284">
        <v>896.39359999999999</v>
      </c>
    </row>
    <row r="36" spans="1:23" s="230" customFormat="1" ht="13.5" customHeight="1">
      <c r="A36" s="301" t="s">
        <v>153</v>
      </c>
      <c r="B36" s="489" t="s">
        <v>154</v>
      </c>
      <c r="C36" s="490"/>
      <c r="D36" s="278" t="s">
        <v>121</v>
      </c>
      <c r="E36" s="277">
        <f>(10)*12</f>
        <v>120</v>
      </c>
      <c r="F36" s="303">
        <v>37.9</v>
      </c>
      <c r="G36" s="229">
        <f t="shared" si="0"/>
        <v>4548</v>
      </c>
      <c r="H36" s="245" t="e">
        <f t="shared" si="1"/>
        <v>#REF!</v>
      </c>
      <c r="I36" s="484" t="s">
        <v>115</v>
      </c>
      <c r="J36" s="485"/>
      <c r="L36" s="274"/>
      <c r="M36" s="275">
        <f t="shared" si="2"/>
        <v>0</v>
      </c>
      <c r="S36" s="283">
        <v>41671</v>
      </c>
      <c r="T36" s="284">
        <v>0.52</v>
      </c>
      <c r="U36" s="284">
        <v>1.4649000000000001</v>
      </c>
      <c r="V36" s="284">
        <v>3.9855999999999998</v>
      </c>
      <c r="W36" s="284">
        <v>889.80899999999997</v>
      </c>
    </row>
    <row r="37" spans="1:23" s="230" customFormat="1" ht="26.25" customHeight="1">
      <c r="A37" s="301" t="s">
        <v>155</v>
      </c>
      <c r="B37" s="489" t="s">
        <v>156</v>
      </c>
      <c r="C37" s="490"/>
      <c r="D37" s="278" t="s">
        <v>121</v>
      </c>
      <c r="E37" s="279">
        <f>(10+10+10)*12</f>
        <v>360</v>
      </c>
      <c r="F37" s="303">
        <v>24.95</v>
      </c>
      <c r="G37" s="229">
        <f t="shared" si="0"/>
        <v>8982</v>
      </c>
      <c r="H37" s="245" t="e">
        <f t="shared" si="1"/>
        <v>#REF!</v>
      </c>
      <c r="I37" s="484" t="s">
        <v>115</v>
      </c>
      <c r="J37" s="485"/>
      <c r="L37" s="274"/>
      <c r="M37" s="275">
        <f t="shared" si="2"/>
        <v>0</v>
      </c>
      <c r="S37" s="283">
        <v>41640</v>
      </c>
      <c r="T37" s="284">
        <v>0.94</v>
      </c>
      <c r="U37" s="284">
        <v>0.94</v>
      </c>
      <c r="V37" s="284">
        <v>3.6753</v>
      </c>
      <c r="W37" s="284">
        <v>885.20600000000002</v>
      </c>
    </row>
    <row r="38" spans="1:23" ht="26.25" customHeight="1">
      <c r="A38" s="301" t="s">
        <v>157</v>
      </c>
      <c r="B38" s="489" t="s">
        <v>158</v>
      </c>
      <c r="C38" s="490"/>
      <c r="D38" s="278" t="s">
        <v>121</v>
      </c>
      <c r="E38" s="279">
        <f>(10+20+18)*12</f>
        <v>576</v>
      </c>
      <c r="F38" s="303">
        <v>37.9</v>
      </c>
      <c r="G38" s="304">
        <f t="shared" si="0"/>
        <v>21830.400000000001</v>
      </c>
      <c r="H38" s="305" t="e">
        <f t="shared" si="1"/>
        <v>#REF!</v>
      </c>
      <c r="I38" s="484" t="s">
        <v>115</v>
      </c>
      <c r="J38" s="485"/>
      <c r="L38" s="274"/>
      <c r="M38" s="275">
        <f t="shared" si="2"/>
        <v>0</v>
      </c>
      <c r="S38" s="283">
        <v>41609</v>
      </c>
      <c r="T38" s="284">
        <v>0.65</v>
      </c>
      <c r="U38" s="284">
        <v>3.8908999999999998</v>
      </c>
      <c r="V38" s="284">
        <v>3.8908999999999998</v>
      </c>
      <c r="W38" s="284">
        <v>876.96249999999998</v>
      </c>
    </row>
    <row r="39" spans="1:23" ht="26.25" customHeight="1">
      <c r="A39" s="301" t="s">
        <v>159</v>
      </c>
      <c r="B39" s="489" t="s">
        <v>160</v>
      </c>
      <c r="C39" s="490"/>
      <c r="D39" s="278" t="s">
        <v>121</v>
      </c>
      <c r="E39" s="277">
        <f>(15+10+10)*12</f>
        <v>420</v>
      </c>
      <c r="F39" s="303">
        <f t="shared" si="3"/>
        <v>2.2858634243699729</v>
      </c>
      <c r="G39" s="304">
        <f t="shared" si="0"/>
        <v>960.06</v>
      </c>
      <c r="H39" s="305" t="e">
        <f t="shared" si="1"/>
        <v>#REF!</v>
      </c>
      <c r="I39" s="482" t="s">
        <v>106</v>
      </c>
      <c r="J39" s="483"/>
      <c r="L39" s="274">
        <v>1.9</v>
      </c>
      <c r="M39" s="275">
        <f t="shared" si="2"/>
        <v>2.2858634243699729</v>
      </c>
      <c r="S39" s="283">
        <v>41579</v>
      </c>
      <c r="T39" s="284">
        <v>0.46</v>
      </c>
      <c r="U39" s="284">
        <v>3.22</v>
      </c>
      <c r="V39" s="284">
        <v>4.0251000000000001</v>
      </c>
      <c r="W39" s="284">
        <v>871.29909999999995</v>
      </c>
    </row>
    <row r="40" spans="1:23" ht="12.75" customHeight="1">
      <c r="A40" s="301" t="s">
        <v>161</v>
      </c>
      <c r="B40" s="489" t="s">
        <v>162</v>
      </c>
      <c r="C40" s="490"/>
      <c r="D40" s="278" t="s">
        <v>121</v>
      </c>
      <c r="E40" s="277">
        <f>(15+10+10)*12</f>
        <v>420</v>
      </c>
      <c r="F40" s="303">
        <f t="shared" si="3"/>
        <v>2.4061720256526034</v>
      </c>
      <c r="G40" s="304">
        <f t="shared" si="0"/>
        <v>1010.59</v>
      </c>
      <c r="H40" s="305" t="e">
        <f t="shared" si="1"/>
        <v>#REF!</v>
      </c>
      <c r="I40" s="482" t="s">
        <v>106</v>
      </c>
      <c r="J40" s="483"/>
      <c r="L40" s="274">
        <v>2</v>
      </c>
      <c r="M40" s="275">
        <f t="shared" si="2"/>
        <v>2.4061720256526034</v>
      </c>
      <c r="S40" s="283">
        <v>41548</v>
      </c>
      <c r="T40" s="284">
        <v>0.48</v>
      </c>
      <c r="U40" s="284">
        <v>2.7473999999999998</v>
      </c>
      <c r="V40" s="284">
        <v>4.2529000000000003</v>
      </c>
      <c r="W40" s="284">
        <v>867.30939999999998</v>
      </c>
    </row>
    <row r="41" spans="1:23" ht="12.75" customHeight="1">
      <c r="A41" s="301" t="s">
        <v>163</v>
      </c>
      <c r="B41" s="489" t="s">
        <v>164</v>
      </c>
      <c r="C41" s="490"/>
      <c r="D41" s="278" t="s">
        <v>121</v>
      </c>
      <c r="E41" s="277">
        <f>(10+10+10)*12</f>
        <v>360</v>
      </c>
      <c r="F41" s="303">
        <f t="shared" si="3"/>
        <v>1.2030860128263017</v>
      </c>
      <c r="G41" s="304">
        <f t="shared" si="0"/>
        <v>433.11</v>
      </c>
      <c r="H41" s="305" t="e">
        <f t="shared" si="1"/>
        <v>#REF!</v>
      </c>
      <c r="I41" s="482" t="s">
        <v>106</v>
      </c>
      <c r="J41" s="483"/>
      <c r="L41" s="274">
        <v>1</v>
      </c>
      <c r="M41" s="275">
        <f t="shared" si="2"/>
        <v>1.2030860128263017</v>
      </c>
      <c r="S41" s="283">
        <v>41518</v>
      </c>
      <c r="T41" s="284">
        <v>0.25</v>
      </c>
      <c r="U41" s="284">
        <v>2.2565</v>
      </c>
      <c r="V41" s="284">
        <v>4.585</v>
      </c>
      <c r="W41" s="284">
        <v>863.1662</v>
      </c>
    </row>
    <row r="42" spans="1:23" ht="12.75" customHeight="1">
      <c r="A42" s="301" t="s">
        <v>165</v>
      </c>
      <c r="B42" s="489" t="s">
        <v>166</v>
      </c>
      <c r="C42" s="490"/>
      <c r="D42" s="278" t="s">
        <v>121</v>
      </c>
      <c r="E42" s="277">
        <f>(12+10+8)*12</f>
        <v>360</v>
      </c>
      <c r="F42" s="303">
        <f t="shared" si="3"/>
        <v>1.2030860128263017</v>
      </c>
      <c r="G42" s="304">
        <f t="shared" si="0"/>
        <v>433.11</v>
      </c>
      <c r="H42" s="305" t="e">
        <f t="shared" si="1"/>
        <v>#REF!</v>
      </c>
      <c r="I42" s="482" t="s">
        <v>106</v>
      </c>
      <c r="J42" s="483"/>
      <c r="L42" s="274">
        <v>1</v>
      </c>
      <c r="M42" s="275">
        <f t="shared" si="2"/>
        <v>1.2030860128263017</v>
      </c>
      <c r="S42" s="283">
        <v>41487</v>
      </c>
      <c r="T42" s="284">
        <v>0.22</v>
      </c>
      <c r="U42" s="284">
        <v>2.0015000000000001</v>
      </c>
      <c r="V42" s="284">
        <v>4.8978999999999999</v>
      </c>
      <c r="W42" s="284">
        <v>861.01369999999997</v>
      </c>
    </row>
    <row r="43" spans="1:23" ht="12.75" customHeight="1">
      <c r="A43" s="301" t="s">
        <v>167</v>
      </c>
      <c r="B43" s="489" t="s">
        <v>168</v>
      </c>
      <c r="C43" s="490"/>
      <c r="D43" s="278" t="s">
        <v>105</v>
      </c>
      <c r="E43" s="277">
        <f>(4+10+10)*12</f>
        <v>288</v>
      </c>
      <c r="F43" s="303">
        <f t="shared" si="3"/>
        <v>12.030860128263017</v>
      </c>
      <c r="G43" s="304">
        <f t="shared" si="0"/>
        <v>3464.88</v>
      </c>
      <c r="H43" s="305" t="e">
        <f t="shared" si="1"/>
        <v>#REF!</v>
      </c>
      <c r="I43" s="482" t="s">
        <v>106</v>
      </c>
      <c r="J43" s="483"/>
      <c r="L43" s="274">
        <v>10</v>
      </c>
      <c r="M43" s="275">
        <f t="shared" si="2"/>
        <v>12.030860128263017</v>
      </c>
      <c r="S43" s="283">
        <v>41456</v>
      </c>
      <c r="T43" s="284">
        <v>-0.13</v>
      </c>
      <c r="U43" s="284">
        <v>1.7776000000000001</v>
      </c>
      <c r="V43" s="284">
        <v>4.9503000000000004</v>
      </c>
      <c r="W43" s="284">
        <v>859.12360000000001</v>
      </c>
    </row>
    <row r="44" spans="1:23" ht="12.75" customHeight="1">
      <c r="A44" s="301" t="s">
        <v>169</v>
      </c>
      <c r="B44" s="489" t="s">
        <v>170</v>
      </c>
      <c r="C44" s="490"/>
      <c r="D44" s="278" t="s">
        <v>121</v>
      </c>
      <c r="E44" s="277">
        <f>(10+20+18)*12</f>
        <v>576</v>
      </c>
      <c r="F44" s="303">
        <f t="shared" si="3"/>
        <v>24.061720256526034</v>
      </c>
      <c r="G44" s="304">
        <f t="shared" si="0"/>
        <v>13859.55</v>
      </c>
      <c r="H44" s="305" t="e">
        <f t="shared" si="1"/>
        <v>#REF!</v>
      </c>
      <c r="I44" s="482" t="s">
        <v>106</v>
      </c>
      <c r="J44" s="483"/>
      <c r="L44" s="274">
        <v>20</v>
      </c>
      <c r="M44" s="275">
        <f t="shared" si="2"/>
        <v>24.061720256526034</v>
      </c>
      <c r="S44" s="283">
        <v>41426</v>
      </c>
      <c r="T44" s="284">
        <v>0.32</v>
      </c>
      <c r="U44" s="284">
        <v>1.9100999999999999</v>
      </c>
      <c r="V44" s="284">
        <v>5.2234999999999996</v>
      </c>
      <c r="W44" s="284">
        <v>860.24189999999999</v>
      </c>
    </row>
    <row r="45" spans="1:23" ht="12.75" customHeight="1">
      <c r="A45" s="301" t="s">
        <v>171</v>
      </c>
      <c r="B45" s="489" t="s">
        <v>172</v>
      </c>
      <c r="C45" s="490"/>
      <c r="D45" s="278" t="s">
        <v>105</v>
      </c>
      <c r="E45" s="277">
        <f>(5+4+4)*12</f>
        <v>156</v>
      </c>
      <c r="F45" s="303">
        <f t="shared" si="3"/>
        <v>6.0154300641315084</v>
      </c>
      <c r="G45" s="304">
        <f t="shared" ref="G45:G58" si="4">TRUNC(E45*F45,2)</f>
        <v>938.4</v>
      </c>
      <c r="H45" s="305" t="e">
        <f t="shared" si="1"/>
        <v>#REF!</v>
      </c>
      <c r="I45" s="482" t="s">
        <v>106</v>
      </c>
      <c r="J45" s="483"/>
      <c r="L45" s="274">
        <v>5</v>
      </c>
      <c r="M45" s="275">
        <f t="shared" si="2"/>
        <v>6.0154300641315084</v>
      </c>
      <c r="S45" s="283">
        <v>41395</v>
      </c>
      <c r="T45" s="284">
        <v>0.1</v>
      </c>
      <c r="U45" s="284">
        <v>1.585</v>
      </c>
      <c r="V45" s="284">
        <v>5.1291000000000002</v>
      </c>
      <c r="W45" s="284">
        <v>857.49800000000005</v>
      </c>
    </row>
    <row r="46" spans="1:23" ht="12.75" customHeight="1">
      <c r="A46" s="301" t="s">
        <v>173</v>
      </c>
      <c r="B46" s="489" t="s">
        <v>174</v>
      </c>
      <c r="C46" s="490"/>
      <c r="D46" s="278" t="s">
        <v>105</v>
      </c>
      <c r="E46" s="277">
        <f>(5+4+8)*12</f>
        <v>204</v>
      </c>
      <c r="F46" s="303">
        <f t="shared" si="3"/>
        <v>8.4216020897841108</v>
      </c>
      <c r="G46" s="304">
        <f t="shared" si="4"/>
        <v>1718</v>
      </c>
      <c r="H46" s="305" t="e">
        <f t="shared" si="1"/>
        <v>#REF!</v>
      </c>
      <c r="I46" s="482" t="s">
        <v>106</v>
      </c>
      <c r="J46" s="483"/>
      <c r="L46" s="274">
        <v>7</v>
      </c>
      <c r="M46" s="275">
        <f t="shared" si="2"/>
        <v>8.4216020897841108</v>
      </c>
      <c r="S46" s="283">
        <v>41365</v>
      </c>
      <c r="T46" s="284">
        <v>0.28000000000000003</v>
      </c>
      <c r="U46" s="284">
        <v>1.4836</v>
      </c>
      <c r="V46" s="284">
        <v>5.3916000000000004</v>
      </c>
      <c r="W46" s="284">
        <v>856.6413</v>
      </c>
    </row>
    <row r="47" spans="1:23" ht="12.75" customHeight="1">
      <c r="A47" s="301" t="s">
        <v>175</v>
      </c>
      <c r="B47" s="489" t="s">
        <v>176</v>
      </c>
      <c r="C47" s="490"/>
      <c r="D47" s="278" t="s">
        <v>105</v>
      </c>
      <c r="E47" s="277">
        <f>(5+4+8)*12</f>
        <v>204</v>
      </c>
      <c r="F47" s="303">
        <f t="shared" si="3"/>
        <v>12.030860128263017</v>
      </c>
      <c r="G47" s="304">
        <f t="shared" si="4"/>
        <v>2454.29</v>
      </c>
      <c r="H47" s="305" t="e">
        <f t="shared" si="1"/>
        <v>#REF!</v>
      </c>
      <c r="I47" s="482" t="s">
        <v>106</v>
      </c>
      <c r="J47" s="483"/>
      <c r="L47" s="274">
        <v>10</v>
      </c>
      <c r="M47" s="275">
        <f t="shared" si="2"/>
        <v>12.030860128263017</v>
      </c>
      <c r="S47" s="283">
        <v>41334</v>
      </c>
      <c r="T47" s="284">
        <v>-0.17</v>
      </c>
      <c r="U47" s="284">
        <v>1.2001999999999999</v>
      </c>
      <c r="V47" s="284">
        <v>5.5913000000000004</v>
      </c>
      <c r="W47" s="284">
        <v>854.24940000000004</v>
      </c>
    </row>
    <row r="48" spans="1:23" ht="12.75" customHeight="1">
      <c r="A48" s="301" t="s">
        <v>177</v>
      </c>
      <c r="B48" s="489" t="s">
        <v>178</v>
      </c>
      <c r="C48" s="490"/>
      <c r="D48" s="278" t="s">
        <v>105</v>
      </c>
      <c r="E48" s="277">
        <f>(5+5+10)*12</f>
        <v>240</v>
      </c>
      <c r="F48" s="303">
        <f>M48</f>
        <v>26.467892282178635</v>
      </c>
      <c r="G48" s="304">
        <f>TRUNC(E48*F48,2)</f>
        <v>6352.29</v>
      </c>
      <c r="H48" s="305" t="e">
        <f t="shared" si="1"/>
        <v>#REF!</v>
      </c>
      <c r="I48" s="482" t="s">
        <v>106</v>
      </c>
      <c r="J48" s="483"/>
      <c r="L48" s="274">
        <v>22</v>
      </c>
      <c r="M48" s="275">
        <f t="shared" si="2"/>
        <v>26.467892282178635</v>
      </c>
      <c r="S48" s="283">
        <v>41306</v>
      </c>
      <c r="T48" s="284">
        <v>0.22</v>
      </c>
      <c r="U48" s="284">
        <v>1.3725000000000001</v>
      </c>
      <c r="V48" s="284">
        <v>5.9298000000000002</v>
      </c>
      <c r="W48" s="284">
        <v>855.70410000000004</v>
      </c>
    </row>
    <row r="49" spans="1:23" ht="12.75" customHeight="1">
      <c r="A49" s="301" t="s">
        <v>179</v>
      </c>
      <c r="B49" s="432" t="s">
        <v>180</v>
      </c>
      <c r="C49" s="433"/>
      <c r="D49" s="278" t="s">
        <v>121</v>
      </c>
      <c r="E49" s="277">
        <f>(7+1+3)*4</f>
        <v>44</v>
      </c>
      <c r="F49" s="303">
        <f t="shared" si="3"/>
        <v>131.13637539806689</v>
      </c>
      <c r="G49" s="304">
        <f t="shared" si="4"/>
        <v>5770</v>
      </c>
      <c r="H49" s="305" t="e">
        <f t="shared" si="1"/>
        <v>#REF!</v>
      </c>
      <c r="I49" s="482" t="s">
        <v>106</v>
      </c>
      <c r="J49" s="483"/>
      <c r="L49" s="274">
        <v>109</v>
      </c>
      <c r="M49" s="275">
        <f t="shared" si="2"/>
        <v>131.13637539806689</v>
      </c>
      <c r="S49" s="283">
        <v>41275</v>
      </c>
      <c r="T49" s="284">
        <v>1.1499999999999999</v>
      </c>
      <c r="U49" s="284">
        <v>1.1499999999999999</v>
      </c>
      <c r="V49" s="284">
        <v>5.6233000000000004</v>
      </c>
      <c r="W49" s="284">
        <v>853.82569999999998</v>
      </c>
    </row>
    <row r="50" spans="1:23" ht="12.75" customHeight="1">
      <c r="A50" s="301" t="s">
        <v>181</v>
      </c>
      <c r="B50" s="489" t="s">
        <v>182</v>
      </c>
      <c r="C50" s="490"/>
      <c r="D50" s="278" t="s">
        <v>121</v>
      </c>
      <c r="E50" s="277">
        <f>(10+2+2)*4</f>
        <v>56</v>
      </c>
      <c r="F50" s="303">
        <f t="shared" si="3"/>
        <v>63.522941477228727</v>
      </c>
      <c r="G50" s="304">
        <f t="shared" si="4"/>
        <v>3557.28</v>
      </c>
      <c r="H50" s="305" t="e">
        <f t="shared" si="1"/>
        <v>#REF!</v>
      </c>
      <c r="I50" s="482" t="s">
        <v>106</v>
      </c>
      <c r="J50" s="483"/>
      <c r="L50" s="274">
        <v>52.8</v>
      </c>
      <c r="M50" s="275">
        <f t="shared" si="2"/>
        <v>63.522941477228727</v>
      </c>
      <c r="S50" s="283">
        <v>41244</v>
      </c>
      <c r="T50" s="284">
        <v>0.78</v>
      </c>
      <c r="U50" s="284">
        <v>5.1116000000000001</v>
      </c>
      <c r="V50" s="284">
        <v>5.1116000000000001</v>
      </c>
      <c r="W50" s="284">
        <v>844.11829999999998</v>
      </c>
    </row>
    <row r="51" spans="1:23" ht="13.5" customHeight="1">
      <c r="A51" s="301" t="s">
        <v>183</v>
      </c>
      <c r="B51" s="489" t="s">
        <v>184</v>
      </c>
      <c r="C51" s="490"/>
      <c r="D51" s="278" t="s">
        <v>121</v>
      </c>
      <c r="E51" s="277">
        <f>(10+2+2)*4</f>
        <v>56</v>
      </c>
      <c r="F51" s="303">
        <f t="shared" si="3"/>
        <v>5.4138870577183571</v>
      </c>
      <c r="G51" s="304">
        <f t="shared" si="4"/>
        <v>303.17</v>
      </c>
      <c r="H51" s="305" t="e">
        <f t="shared" ref="H51:H81" si="5">G51/$G$124</f>
        <v>#REF!</v>
      </c>
      <c r="I51" s="482" t="s">
        <v>106</v>
      </c>
      <c r="J51" s="483"/>
      <c r="L51" s="274">
        <v>4.5</v>
      </c>
      <c r="M51" s="275">
        <f t="shared" si="2"/>
        <v>5.4138870577183571</v>
      </c>
      <c r="S51" s="283">
        <v>41214</v>
      </c>
      <c r="T51" s="284">
        <v>0.68</v>
      </c>
      <c r="U51" s="284">
        <v>4.2980999999999998</v>
      </c>
      <c r="V51" s="284">
        <v>4.9343000000000004</v>
      </c>
      <c r="W51" s="284">
        <v>837.58519999999999</v>
      </c>
    </row>
    <row r="52" spans="1:23" ht="12.75" customHeight="1">
      <c r="A52" s="301" t="s">
        <v>185</v>
      </c>
      <c r="B52" s="432" t="s">
        <v>186</v>
      </c>
      <c r="C52" s="433"/>
      <c r="D52" s="278" t="s">
        <v>105</v>
      </c>
      <c r="E52" s="277">
        <f>(5+15+12)*12</f>
        <v>384</v>
      </c>
      <c r="F52" s="303">
        <f t="shared" si="3"/>
        <v>1.4437032153915619</v>
      </c>
      <c r="G52" s="304">
        <f t="shared" si="4"/>
        <v>554.38</v>
      </c>
      <c r="H52" s="305" t="e">
        <f t="shared" si="5"/>
        <v>#REF!</v>
      </c>
      <c r="I52" s="482" t="s">
        <v>106</v>
      </c>
      <c r="J52" s="483"/>
      <c r="L52" s="274">
        <v>1.2</v>
      </c>
      <c r="M52" s="275">
        <f t="shared" si="2"/>
        <v>1.4437032153915619</v>
      </c>
      <c r="S52" s="283">
        <v>41183</v>
      </c>
      <c r="T52" s="284">
        <v>0.8</v>
      </c>
      <c r="U52" s="284">
        <v>3.5935999999999999</v>
      </c>
      <c r="V52" s="284">
        <v>4.8509000000000002</v>
      </c>
      <c r="W52" s="284">
        <v>831.92809999999997</v>
      </c>
    </row>
    <row r="53" spans="1:23" ht="12.75" customHeight="1">
      <c r="A53" s="301" t="s">
        <v>187</v>
      </c>
      <c r="B53" s="489" t="s">
        <v>188</v>
      </c>
      <c r="C53" s="490"/>
      <c r="D53" s="278" t="s">
        <v>121</v>
      </c>
      <c r="E53" s="277">
        <f>(5+20+18)*12</f>
        <v>516</v>
      </c>
      <c r="F53" s="303">
        <v>27.2</v>
      </c>
      <c r="G53" s="304">
        <f t="shared" si="4"/>
        <v>14035.2</v>
      </c>
      <c r="H53" s="305" t="e">
        <f t="shared" si="5"/>
        <v>#REF!</v>
      </c>
      <c r="I53" s="484" t="s">
        <v>115</v>
      </c>
      <c r="J53" s="485"/>
      <c r="L53" s="274"/>
      <c r="M53" s="275">
        <f t="shared" si="2"/>
        <v>0</v>
      </c>
      <c r="S53" s="283">
        <v>41153</v>
      </c>
      <c r="T53" s="284">
        <v>0.55000000000000004</v>
      </c>
      <c r="U53" s="284">
        <v>2.7715000000000001</v>
      </c>
      <c r="V53" s="284">
        <v>4.4244000000000003</v>
      </c>
      <c r="W53" s="284">
        <v>825.32550000000003</v>
      </c>
    </row>
    <row r="54" spans="1:23" ht="12.75" customHeight="1">
      <c r="A54" s="301" t="s">
        <v>189</v>
      </c>
      <c r="B54" s="494" t="s">
        <v>190</v>
      </c>
      <c r="C54" s="494"/>
      <c r="D54" s="278" t="s">
        <v>121</v>
      </c>
      <c r="E54" s="277">
        <f>(10)*12</f>
        <v>120</v>
      </c>
      <c r="F54" s="303">
        <v>4.49</v>
      </c>
      <c r="G54" s="304">
        <f t="shared" si="4"/>
        <v>538.79999999999995</v>
      </c>
      <c r="H54" s="305" t="e">
        <f t="shared" si="5"/>
        <v>#REF!</v>
      </c>
      <c r="I54" s="484" t="s">
        <v>127</v>
      </c>
      <c r="J54" s="485"/>
      <c r="L54" s="274"/>
      <c r="M54" s="275">
        <f t="shared" si="2"/>
        <v>0</v>
      </c>
      <c r="S54" s="283">
        <v>41122</v>
      </c>
      <c r="T54" s="284">
        <v>0.27</v>
      </c>
      <c r="U54" s="284">
        <v>2.2092999999999998</v>
      </c>
      <c r="V54" s="284">
        <v>4.1128999999999998</v>
      </c>
      <c r="W54" s="284">
        <v>820.81100000000004</v>
      </c>
    </row>
    <row r="55" spans="1:23" ht="12.75" customHeight="1">
      <c r="A55" s="301" t="s">
        <v>191</v>
      </c>
      <c r="B55" s="489" t="s">
        <v>192</v>
      </c>
      <c r="C55" s="490"/>
      <c r="D55" s="278" t="s">
        <v>121</v>
      </c>
      <c r="E55" s="277">
        <f>(10+3+3)*12</f>
        <v>192</v>
      </c>
      <c r="F55" s="303">
        <f t="shared" si="3"/>
        <v>0.60154300641315084</v>
      </c>
      <c r="G55" s="304">
        <f t="shared" si="4"/>
        <v>115.49</v>
      </c>
      <c r="H55" s="305" t="e">
        <f t="shared" si="5"/>
        <v>#REF!</v>
      </c>
      <c r="I55" s="482" t="s">
        <v>106</v>
      </c>
      <c r="J55" s="483"/>
      <c r="L55" s="274">
        <v>0.5</v>
      </c>
      <c r="M55" s="275">
        <f t="shared" si="2"/>
        <v>0.60154300641315084</v>
      </c>
      <c r="S55" s="283">
        <v>41091</v>
      </c>
      <c r="T55" s="284">
        <v>0.13</v>
      </c>
      <c r="U55" s="284">
        <v>1.9340999999999999</v>
      </c>
      <c r="V55" s="284">
        <v>4.2374999999999998</v>
      </c>
      <c r="W55" s="284">
        <v>818.60080000000005</v>
      </c>
    </row>
    <row r="56" spans="1:23" ht="12.75" customHeight="1">
      <c r="A56" s="301" t="s">
        <v>193</v>
      </c>
      <c r="B56" s="489" t="s">
        <v>194</v>
      </c>
      <c r="C56" s="490"/>
      <c r="D56" s="278" t="s">
        <v>121</v>
      </c>
      <c r="E56" s="277">
        <f>(1)*12</f>
        <v>12</v>
      </c>
      <c r="F56" s="303">
        <v>133.81</v>
      </c>
      <c r="G56" s="304">
        <f t="shared" si="4"/>
        <v>1605.72</v>
      </c>
      <c r="H56" s="305" t="e">
        <f t="shared" si="5"/>
        <v>#REF!</v>
      </c>
      <c r="I56" s="491" t="s">
        <v>195</v>
      </c>
      <c r="J56" s="492"/>
      <c r="L56" s="274"/>
      <c r="M56" s="275">
        <f t="shared" si="2"/>
        <v>0</v>
      </c>
      <c r="S56" s="283">
        <v>41061</v>
      </c>
      <c r="T56" s="284">
        <v>0.23</v>
      </c>
      <c r="U56" s="284">
        <v>1.8018000000000001</v>
      </c>
      <c r="V56" s="284">
        <v>4.4145000000000003</v>
      </c>
      <c r="W56" s="284">
        <v>817.53800000000001</v>
      </c>
    </row>
    <row r="57" spans="1:23" ht="12.75" customHeight="1">
      <c r="A57" s="301" t="s">
        <v>196</v>
      </c>
      <c r="B57" s="489" t="s">
        <v>197</v>
      </c>
      <c r="C57" s="490"/>
      <c r="D57" s="278" t="s">
        <v>121</v>
      </c>
      <c r="E57" s="277">
        <f>(10+4+8)*12</f>
        <v>264</v>
      </c>
      <c r="F57" s="303">
        <f t="shared" si="3"/>
        <v>16.843204179568222</v>
      </c>
      <c r="G57" s="304">
        <f t="shared" si="4"/>
        <v>4446.6000000000004</v>
      </c>
      <c r="H57" s="305" t="e">
        <f t="shared" si="5"/>
        <v>#REF!</v>
      </c>
      <c r="I57" s="482" t="s">
        <v>106</v>
      </c>
      <c r="J57" s="483"/>
      <c r="L57" s="274">
        <v>14</v>
      </c>
      <c r="M57" s="275">
        <f t="shared" si="2"/>
        <v>16.843204179568222</v>
      </c>
      <c r="S57" s="283">
        <v>41030</v>
      </c>
      <c r="T57" s="284">
        <v>0.35</v>
      </c>
      <c r="U57" s="284">
        <v>1.5682</v>
      </c>
      <c r="V57" s="284">
        <v>4.1852999999999998</v>
      </c>
      <c r="W57" s="284">
        <v>815.66200000000003</v>
      </c>
    </row>
    <row r="58" spans="1:23" ht="12.75" customHeight="1">
      <c r="A58" s="301" t="s">
        <v>198</v>
      </c>
      <c r="B58" s="489" t="s">
        <v>199</v>
      </c>
      <c r="C58" s="490"/>
      <c r="D58" s="278" t="s">
        <v>121</v>
      </c>
      <c r="E58" s="277">
        <f>(16)*12</f>
        <v>192</v>
      </c>
      <c r="F58" s="303">
        <v>10.99</v>
      </c>
      <c r="G58" s="304">
        <f t="shared" si="4"/>
        <v>2110.08</v>
      </c>
      <c r="H58" s="305" t="e">
        <f t="shared" si="5"/>
        <v>#REF!</v>
      </c>
      <c r="I58" s="484" t="s">
        <v>127</v>
      </c>
      <c r="J58" s="485"/>
      <c r="L58" s="274"/>
      <c r="M58" s="275">
        <f t="shared" si="2"/>
        <v>0</v>
      </c>
      <c r="S58" s="283">
        <v>41000</v>
      </c>
      <c r="T58" s="284">
        <v>0.47</v>
      </c>
      <c r="U58" s="284">
        <v>1.2139</v>
      </c>
      <c r="V58" s="284">
        <v>4.1436999999999999</v>
      </c>
      <c r="W58" s="284">
        <v>812.81709999999998</v>
      </c>
    </row>
    <row r="59" spans="1:23" ht="12.75" customHeight="1">
      <c r="A59" s="301" t="s">
        <v>200</v>
      </c>
      <c r="B59" s="489" t="s">
        <v>201</v>
      </c>
      <c r="C59" s="490"/>
      <c r="D59" s="278" t="s">
        <v>114</v>
      </c>
      <c r="E59" s="277">
        <f>(12)*12</f>
        <v>144</v>
      </c>
      <c r="F59" s="303">
        <f>1.59*10</f>
        <v>15.9</v>
      </c>
      <c r="G59" s="304">
        <f t="shared" ref="G59:G69" si="6">TRUNC(E59*F59,2)</f>
        <v>2289.6</v>
      </c>
      <c r="H59" s="305" t="e">
        <f t="shared" si="5"/>
        <v>#REF!</v>
      </c>
      <c r="I59" s="484" t="s">
        <v>127</v>
      </c>
      <c r="J59" s="485"/>
      <c r="L59" s="274"/>
      <c r="M59" s="275">
        <f t="shared" si="2"/>
        <v>0</v>
      </c>
      <c r="S59" s="283">
        <v>40969</v>
      </c>
      <c r="T59" s="284">
        <v>0.15</v>
      </c>
      <c r="U59" s="284">
        <v>0.74039999999999995</v>
      </c>
      <c r="V59" s="284">
        <v>4.3822000000000001</v>
      </c>
      <c r="W59" s="284">
        <v>809.01469999999995</v>
      </c>
    </row>
    <row r="60" spans="1:23" ht="12.75" customHeight="1">
      <c r="A60" s="301" t="s">
        <v>202</v>
      </c>
      <c r="B60" s="489" t="s">
        <v>203</v>
      </c>
      <c r="C60" s="490"/>
      <c r="D60" s="278" t="s">
        <v>121</v>
      </c>
      <c r="E60" s="277">
        <f>(20+10+15)*12</f>
        <v>540</v>
      </c>
      <c r="F60" s="303">
        <v>3.25</v>
      </c>
      <c r="G60" s="304">
        <f t="shared" si="6"/>
        <v>1755</v>
      </c>
      <c r="H60" s="305" t="e">
        <f t="shared" si="5"/>
        <v>#REF!</v>
      </c>
      <c r="I60" s="484" t="s">
        <v>127</v>
      </c>
      <c r="J60" s="485"/>
      <c r="L60" s="274"/>
      <c r="M60" s="275">
        <f t="shared" si="2"/>
        <v>0</v>
      </c>
      <c r="S60" s="283">
        <v>40940</v>
      </c>
      <c r="T60" s="284">
        <v>-7.0000000000000007E-2</v>
      </c>
      <c r="U60" s="284">
        <v>0.58950000000000002</v>
      </c>
      <c r="V60" s="284">
        <v>4.5906000000000002</v>
      </c>
      <c r="W60" s="284">
        <v>807.803</v>
      </c>
    </row>
    <row r="61" spans="1:23" ht="12.75" customHeight="1">
      <c r="A61" s="301" t="s">
        <v>204</v>
      </c>
      <c r="B61" s="489" t="s">
        <v>205</v>
      </c>
      <c r="C61" s="490"/>
      <c r="D61" s="278" t="s">
        <v>121</v>
      </c>
      <c r="E61" s="277">
        <f>(10)*12</f>
        <v>120</v>
      </c>
      <c r="F61" s="303">
        <v>5.49</v>
      </c>
      <c r="G61" s="304">
        <f t="shared" si="6"/>
        <v>658.8</v>
      </c>
      <c r="H61" s="305" t="e">
        <f t="shared" si="5"/>
        <v>#REF!</v>
      </c>
      <c r="I61" s="484" t="s">
        <v>127</v>
      </c>
      <c r="J61" s="485"/>
      <c r="L61" s="274"/>
      <c r="M61" s="275">
        <f t="shared" si="2"/>
        <v>0</v>
      </c>
      <c r="S61" s="283">
        <v>40909</v>
      </c>
      <c r="T61" s="284">
        <v>0.66</v>
      </c>
      <c r="U61" s="284">
        <v>0.66</v>
      </c>
      <c r="V61" s="284">
        <v>5.2919</v>
      </c>
      <c r="W61" s="284">
        <v>808.36890000000005</v>
      </c>
    </row>
    <row r="62" spans="1:23" ht="12.75" customHeight="1">
      <c r="A62" s="301" t="s">
        <v>206</v>
      </c>
      <c r="B62" s="489" t="s">
        <v>207</v>
      </c>
      <c r="C62" s="490"/>
      <c r="D62" s="278" t="s">
        <v>208</v>
      </c>
      <c r="E62" s="277">
        <f>(120)*12</f>
        <v>1440</v>
      </c>
      <c r="F62" s="303">
        <v>5.4</v>
      </c>
      <c r="G62" s="304">
        <f t="shared" si="6"/>
        <v>7776</v>
      </c>
      <c r="H62" s="305" t="e">
        <f t="shared" si="5"/>
        <v>#REF!</v>
      </c>
      <c r="I62" s="484" t="s">
        <v>127</v>
      </c>
      <c r="J62" s="485"/>
      <c r="L62" s="274"/>
      <c r="M62" s="275">
        <f t="shared" si="2"/>
        <v>0</v>
      </c>
      <c r="S62" s="283">
        <v>40878</v>
      </c>
      <c r="T62" s="284">
        <v>0.61</v>
      </c>
      <c r="U62" s="284">
        <v>5.8044000000000002</v>
      </c>
      <c r="V62" s="284">
        <v>5.8044000000000002</v>
      </c>
      <c r="W62" s="284">
        <v>803.06859999999995</v>
      </c>
    </row>
    <row r="63" spans="1:23" ht="12.75" customHeight="1">
      <c r="A63" s="301" t="s">
        <v>209</v>
      </c>
      <c r="B63" s="489" t="s">
        <v>210</v>
      </c>
      <c r="C63" s="490"/>
      <c r="D63" s="278" t="s">
        <v>121</v>
      </c>
      <c r="E63" s="277">
        <f>(5+5+10)*12</f>
        <v>240</v>
      </c>
      <c r="F63" s="303">
        <f t="shared" si="3"/>
        <v>21.05400522446028</v>
      </c>
      <c r="G63" s="304">
        <f t="shared" si="6"/>
        <v>5052.96</v>
      </c>
      <c r="H63" s="305" t="e">
        <f t="shared" si="5"/>
        <v>#REF!</v>
      </c>
      <c r="I63" s="482" t="s">
        <v>106</v>
      </c>
      <c r="J63" s="483"/>
      <c r="L63" s="274">
        <v>17.5</v>
      </c>
      <c r="M63" s="275">
        <f t="shared" si="2"/>
        <v>21.05400522446028</v>
      </c>
      <c r="S63" s="283">
        <v>40848</v>
      </c>
      <c r="T63" s="284">
        <v>0.6</v>
      </c>
      <c r="U63" s="284">
        <v>5.1628999999999996</v>
      </c>
      <c r="V63" s="284">
        <v>5.7308000000000003</v>
      </c>
      <c r="W63" s="284">
        <v>798.19960000000003</v>
      </c>
    </row>
    <row r="64" spans="1:23" ht="12.75" customHeight="1">
      <c r="A64" s="301" t="s">
        <v>211</v>
      </c>
      <c r="B64" s="489" t="s">
        <v>212</v>
      </c>
      <c r="C64" s="490"/>
      <c r="D64" s="278" t="s">
        <v>121</v>
      </c>
      <c r="E64" s="277">
        <f>(10+12+12)*12</f>
        <v>408</v>
      </c>
      <c r="F64" s="303">
        <v>1.79</v>
      </c>
      <c r="G64" s="304">
        <f t="shared" si="6"/>
        <v>730.32</v>
      </c>
      <c r="H64" s="305" t="e">
        <f t="shared" si="5"/>
        <v>#REF!</v>
      </c>
      <c r="I64" s="484" t="s">
        <v>127</v>
      </c>
      <c r="J64" s="485"/>
      <c r="L64" s="274"/>
      <c r="M64" s="275">
        <f t="shared" si="2"/>
        <v>0</v>
      </c>
      <c r="S64" s="283">
        <v>40817</v>
      </c>
      <c r="T64" s="284">
        <v>0.39</v>
      </c>
      <c r="U64" s="284">
        <v>4.5357000000000003</v>
      </c>
      <c r="V64" s="284">
        <v>5.8569000000000004</v>
      </c>
      <c r="W64" s="284">
        <v>793.43899999999996</v>
      </c>
    </row>
    <row r="65" spans="1:23" ht="12.75" customHeight="1">
      <c r="A65" s="301" t="s">
        <v>213</v>
      </c>
      <c r="B65" s="494" t="s">
        <v>214</v>
      </c>
      <c r="C65" s="494"/>
      <c r="D65" s="278" t="s">
        <v>121</v>
      </c>
      <c r="E65" s="277">
        <f>(15)*12</f>
        <v>180</v>
      </c>
      <c r="F65" s="303">
        <v>7.47</v>
      </c>
      <c r="G65" s="304">
        <f t="shared" si="6"/>
        <v>1344.6</v>
      </c>
      <c r="H65" s="305" t="e">
        <f t="shared" si="5"/>
        <v>#REF!</v>
      </c>
      <c r="I65" s="491" t="s">
        <v>115</v>
      </c>
      <c r="J65" s="492"/>
      <c r="L65" s="274"/>
      <c r="M65" s="275">
        <f t="shared" si="2"/>
        <v>0</v>
      </c>
      <c r="S65" s="283">
        <v>40787</v>
      </c>
      <c r="T65" s="284">
        <v>0.25</v>
      </c>
      <c r="U65" s="284">
        <v>4.1295999999999999</v>
      </c>
      <c r="V65" s="284">
        <v>6.5423</v>
      </c>
      <c r="W65" s="284">
        <v>790.35659999999996</v>
      </c>
    </row>
    <row r="66" spans="1:23" ht="12.75" customHeight="1">
      <c r="A66" s="301" t="s">
        <v>215</v>
      </c>
      <c r="B66" s="494" t="s">
        <v>216</v>
      </c>
      <c r="C66" s="494"/>
      <c r="D66" s="278" t="s">
        <v>121</v>
      </c>
      <c r="E66" s="277">
        <f>(10)*12</f>
        <v>120</v>
      </c>
      <c r="F66" s="303">
        <v>3.2</v>
      </c>
      <c r="G66" s="304">
        <f t="shared" si="6"/>
        <v>384</v>
      </c>
      <c r="H66" s="305" t="e">
        <f t="shared" si="5"/>
        <v>#REF!</v>
      </c>
      <c r="I66" s="484" t="s">
        <v>127</v>
      </c>
      <c r="J66" s="485"/>
      <c r="L66" s="274"/>
      <c r="M66" s="275">
        <f t="shared" si="2"/>
        <v>0</v>
      </c>
      <c r="S66" s="283">
        <v>40756</v>
      </c>
      <c r="T66" s="284">
        <v>0.39</v>
      </c>
      <c r="U66" s="284">
        <v>3.8698999999999999</v>
      </c>
      <c r="V66" s="284">
        <v>6.8399000000000001</v>
      </c>
      <c r="W66" s="284">
        <v>788.38559999999995</v>
      </c>
    </row>
    <row r="67" spans="1:23" ht="12.75" customHeight="1">
      <c r="A67" s="301" t="s">
        <v>217</v>
      </c>
      <c r="B67" s="494" t="s">
        <v>218</v>
      </c>
      <c r="C67" s="494"/>
      <c r="D67" s="278" t="s">
        <v>121</v>
      </c>
      <c r="E67" s="277">
        <f>(10+4+4)*12</f>
        <v>216</v>
      </c>
      <c r="F67" s="303">
        <f t="shared" si="3"/>
        <v>36.092580384789052</v>
      </c>
      <c r="G67" s="304">
        <f t="shared" si="6"/>
        <v>7795.99</v>
      </c>
      <c r="H67" s="305" t="e">
        <f t="shared" si="5"/>
        <v>#REF!</v>
      </c>
      <c r="I67" s="482" t="s">
        <v>106</v>
      </c>
      <c r="J67" s="483"/>
      <c r="L67" s="274">
        <v>30</v>
      </c>
      <c r="M67" s="275">
        <f t="shared" si="2"/>
        <v>36.092580384789052</v>
      </c>
    </row>
    <row r="68" spans="1:23" ht="12.75" customHeight="1">
      <c r="A68" s="301" t="s">
        <v>219</v>
      </c>
      <c r="B68" s="494" t="s">
        <v>220</v>
      </c>
      <c r="C68" s="494"/>
      <c r="D68" s="278" t="s">
        <v>121</v>
      </c>
      <c r="E68" s="277">
        <f>(10+4+4)*12</f>
        <v>216</v>
      </c>
      <c r="F68" s="303">
        <f t="shared" si="3"/>
        <v>4.8123440513052067</v>
      </c>
      <c r="G68" s="304">
        <f t="shared" si="6"/>
        <v>1039.46</v>
      </c>
      <c r="H68" s="305" t="e">
        <f t="shared" si="5"/>
        <v>#REF!</v>
      </c>
      <c r="I68" s="482" t="s">
        <v>106</v>
      </c>
      <c r="J68" s="483"/>
      <c r="L68" s="274">
        <v>4</v>
      </c>
      <c r="M68" s="275">
        <f t="shared" si="2"/>
        <v>4.8123440513052067</v>
      </c>
    </row>
    <row r="69" spans="1:23" ht="12.75" customHeight="1">
      <c r="A69" s="301" t="s">
        <v>221</v>
      </c>
      <c r="B69" s="494" t="s">
        <v>222</v>
      </c>
      <c r="C69" s="494"/>
      <c r="D69" s="278" t="s">
        <v>121</v>
      </c>
      <c r="E69" s="277">
        <f>(12+5+8)*12</f>
        <v>300</v>
      </c>
      <c r="F69" s="303">
        <f t="shared" si="3"/>
        <v>4.6920354500225763</v>
      </c>
      <c r="G69" s="304">
        <f t="shared" si="6"/>
        <v>1407.61</v>
      </c>
      <c r="H69" s="305" t="e">
        <f t="shared" si="5"/>
        <v>#REF!</v>
      </c>
      <c r="I69" s="482" t="s">
        <v>106</v>
      </c>
      <c r="J69" s="483"/>
      <c r="L69" s="275">
        <v>3.9</v>
      </c>
      <c r="M69" s="275">
        <f t="shared" si="2"/>
        <v>4.6920354500225763</v>
      </c>
    </row>
    <row r="70" spans="1:23" ht="12.75" customHeight="1">
      <c r="A70" s="301" t="s">
        <v>223</v>
      </c>
      <c r="B70" s="494" t="s">
        <v>224</v>
      </c>
      <c r="C70" s="494"/>
      <c r="D70" s="278" t="s">
        <v>121</v>
      </c>
      <c r="E70" s="277">
        <f>(2+1+1)*2</f>
        <v>8</v>
      </c>
      <c r="F70" s="303">
        <f t="shared" si="3"/>
        <v>228.58634243699731</v>
      </c>
      <c r="G70" s="304">
        <f t="shared" ref="G70:G103" si="7">TRUNC(E70*F70,2)</f>
        <v>1828.69</v>
      </c>
      <c r="H70" s="305" t="e">
        <f t="shared" si="5"/>
        <v>#REF!</v>
      </c>
      <c r="I70" s="482" t="s">
        <v>106</v>
      </c>
      <c r="J70" s="483"/>
      <c r="L70" s="275">
        <v>190</v>
      </c>
      <c r="M70" s="275">
        <f t="shared" si="2"/>
        <v>228.58634243699731</v>
      </c>
    </row>
    <row r="71" spans="1:23" ht="12.75" customHeight="1">
      <c r="A71" s="301" t="s">
        <v>225</v>
      </c>
      <c r="B71" s="494" t="s">
        <v>226</v>
      </c>
      <c r="C71" s="494"/>
      <c r="D71" s="278" t="s">
        <v>121</v>
      </c>
      <c r="E71" s="277">
        <f>(5+4+4)*12</f>
        <v>156</v>
      </c>
      <c r="F71" s="303">
        <v>20.5</v>
      </c>
      <c r="G71" s="304">
        <f t="shared" si="7"/>
        <v>3198</v>
      </c>
      <c r="H71" s="305" t="e">
        <f t="shared" si="5"/>
        <v>#REF!</v>
      </c>
      <c r="I71" s="484" t="s">
        <v>115</v>
      </c>
      <c r="J71" s="485"/>
      <c r="L71" s="275"/>
      <c r="M71" s="275">
        <f t="shared" si="2"/>
        <v>0</v>
      </c>
    </row>
    <row r="72" spans="1:23" ht="12.75" customHeight="1">
      <c r="A72" s="301" t="s">
        <v>227</v>
      </c>
      <c r="B72" s="494" t="s">
        <v>228</v>
      </c>
      <c r="C72" s="494"/>
      <c r="D72" s="278" t="s">
        <v>121</v>
      </c>
      <c r="E72" s="277">
        <f>(12+4+4)*12</f>
        <v>240</v>
      </c>
      <c r="F72" s="303">
        <v>5.79</v>
      </c>
      <c r="G72" s="304">
        <f t="shared" si="7"/>
        <v>1389.6</v>
      </c>
      <c r="H72" s="305" t="e">
        <f t="shared" si="5"/>
        <v>#REF!</v>
      </c>
      <c r="I72" s="484" t="s">
        <v>127</v>
      </c>
      <c r="J72" s="485"/>
      <c r="L72" s="275"/>
      <c r="M72" s="275">
        <f t="shared" si="2"/>
        <v>0</v>
      </c>
    </row>
    <row r="73" spans="1:23" ht="12.75" customHeight="1">
      <c r="A73" s="301" t="s">
        <v>229</v>
      </c>
      <c r="B73" s="494" t="s">
        <v>230</v>
      </c>
      <c r="C73" s="494"/>
      <c r="D73" s="278" t="s">
        <v>121</v>
      </c>
      <c r="E73" s="277">
        <f>(15+10+10)*12</f>
        <v>420</v>
      </c>
      <c r="F73" s="303">
        <f t="shared" si="3"/>
        <v>27.550669693722305</v>
      </c>
      <c r="G73" s="304">
        <f t="shared" si="7"/>
        <v>11571.28</v>
      </c>
      <c r="H73" s="305" t="e">
        <f t="shared" si="5"/>
        <v>#REF!</v>
      </c>
      <c r="I73" s="482" t="s">
        <v>106</v>
      </c>
      <c r="J73" s="483"/>
      <c r="L73" s="275">
        <v>22.9</v>
      </c>
      <c r="M73" s="275">
        <f t="shared" si="2"/>
        <v>27.550669693722305</v>
      </c>
    </row>
    <row r="74" spans="1:23" ht="12.75" customHeight="1">
      <c r="A74" s="301" t="s">
        <v>231</v>
      </c>
      <c r="B74" s="494" t="s">
        <v>232</v>
      </c>
      <c r="C74" s="494"/>
      <c r="D74" s="278" t="s">
        <v>121</v>
      </c>
      <c r="E74" s="277">
        <f>(12)*12</f>
        <v>144</v>
      </c>
      <c r="F74" s="303">
        <v>37.9</v>
      </c>
      <c r="G74" s="304">
        <f t="shared" si="7"/>
        <v>5457.6</v>
      </c>
      <c r="H74" s="305" t="e">
        <f t="shared" si="5"/>
        <v>#REF!</v>
      </c>
      <c r="I74" s="484" t="s">
        <v>115</v>
      </c>
      <c r="J74" s="485"/>
      <c r="L74" s="275"/>
      <c r="M74" s="275">
        <f t="shared" si="2"/>
        <v>0</v>
      </c>
    </row>
    <row r="75" spans="1:23" ht="12.75" customHeight="1">
      <c r="A75" s="301" t="s">
        <v>233</v>
      </c>
      <c r="B75" s="495" t="s">
        <v>234</v>
      </c>
      <c r="C75" s="495"/>
      <c r="D75" s="278" t="s">
        <v>121</v>
      </c>
      <c r="E75" s="277">
        <f>(10)*12</f>
        <v>120</v>
      </c>
      <c r="F75" s="303">
        <v>7.6</v>
      </c>
      <c r="G75" s="304">
        <f t="shared" si="7"/>
        <v>912</v>
      </c>
      <c r="H75" s="305" t="e">
        <f t="shared" si="5"/>
        <v>#REF!</v>
      </c>
      <c r="I75" s="484" t="s">
        <v>127</v>
      </c>
      <c r="J75" s="485"/>
      <c r="L75" s="275"/>
      <c r="M75" s="275">
        <f t="shared" si="2"/>
        <v>0</v>
      </c>
    </row>
    <row r="76" spans="1:23" ht="12.75" customHeight="1">
      <c r="A76" s="301" t="s">
        <v>235</v>
      </c>
      <c r="B76" s="495" t="s">
        <v>236</v>
      </c>
      <c r="C76" s="495"/>
      <c r="D76" s="278" t="s">
        <v>121</v>
      </c>
      <c r="E76" s="277">
        <f>(4)*12</f>
        <v>48</v>
      </c>
      <c r="F76" s="303">
        <v>90.4</v>
      </c>
      <c r="G76" s="304">
        <f t="shared" si="7"/>
        <v>4339.2</v>
      </c>
      <c r="H76" s="305" t="e">
        <f t="shared" si="5"/>
        <v>#REF!</v>
      </c>
      <c r="I76" s="484" t="s">
        <v>115</v>
      </c>
      <c r="J76" s="485"/>
      <c r="L76" s="275"/>
      <c r="M76" s="275">
        <f t="shared" si="2"/>
        <v>0</v>
      </c>
    </row>
    <row r="77" spans="1:23" ht="12.75" customHeight="1">
      <c r="A77" s="301" t="s">
        <v>237</v>
      </c>
      <c r="B77" s="495" t="s">
        <v>238</v>
      </c>
      <c r="C77" s="495"/>
      <c r="D77" s="278" t="s">
        <v>121</v>
      </c>
      <c r="E77" s="277">
        <f>(5)*12</f>
        <v>60</v>
      </c>
      <c r="F77" s="303">
        <v>4.25</v>
      </c>
      <c r="G77" s="304">
        <f t="shared" si="7"/>
        <v>255</v>
      </c>
      <c r="H77" s="305" t="e">
        <f t="shared" si="5"/>
        <v>#REF!</v>
      </c>
      <c r="I77" s="484" t="s">
        <v>127</v>
      </c>
      <c r="J77" s="485"/>
      <c r="L77" s="275"/>
      <c r="M77" s="275">
        <f t="shared" si="2"/>
        <v>0</v>
      </c>
    </row>
    <row r="78" spans="1:23" ht="12.75" customHeight="1">
      <c r="A78" s="301" t="s">
        <v>239</v>
      </c>
      <c r="B78" s="495" t="s">
        <v>240</v>
      </c>
      <c r="C78" s="495"/>
      <c r="D78" s="278" t="s">
        <v>121</v>
      </c>
      <c r="E78" s="277">
        <f>(4)*12</f>
        <v>48</v>
      </c>
      <c r="F78" s="303">
        <f t="shared" si="3"/>
        <v>155.19809565459292</v>
      </c>
      <c r="G78" s="304">
        <f t="shared" si="7"/>
        <v>7449.5</v>
      </c>
      <c r="H78" s="305" t="e">
        <f t="shared" si="5"/>
        <v>#REF!</v>
      </c>
      <c r="I78" s="482" t="s">
        <v>106</v>
      </c>
      <c r="J78" s="483"/>
      <c r="L78" s="275">
        <v>129</v>
      </c>
      <c r="M78" s="275">
        <f t="shared" si="2"/>
        <v>155.19809565459292</v>
      </c>
    </row>
    <row r="79" spans="1:23" ht="12.75" customHeight="1">
      <c r="A79" s="301" t="s">
        <v>241</v>
      </c>
      <c r="B79" s="495" t="s">
        <v>242</v>
      </c>
      <c r="C79" s="495"/>
      <c r="D79" s="278" t="s">
        <v>121</v>
      </c>
      <c r="E79" s="277">
        <f>(12+10+10)*12</f>
        <v>384</v>
      </c>
      <c r="F79" s="303">
        <f t="shared" si="3"/>
        <v>2.6467892282178638</v>
      </c>
      <c r="G79" s="304">
        <f>TRUNC(E79*F79,2)</f>
        <v>1016.36</v>
      </c>
      <c r="H79" s="305" t="e">
        <f t="shared" si="5"/>
        <v>#REF!</v>
      </c>
      <c r="I79" s="482" t="s">
        <v>106</v>
      </c>
      <c r="J79" s="483"/>
      <c r="L79" s="275">
        <v>2.2000000000000002</v>
      </c>
      <c r="M79" s="275">
        <f t="shared" si="2"/>
        <v>2.6467892282178638</v>
      </c>
    </row>
    <row r="80" spans="1:23" ht="12.75" customHeight="1">
      <c r="A80" s="301" t="s">
        <v>243</v>
      </c>
      <c r="B80" s="495" t="s">
        <v>244</v>
      </c>
      <c r="C80" s="495"/>
      <c r="D80" s="278" t="s">
        <v>121</v>
      </c>
      <c r="E80" s="277">
        <f>(12)*12</f>
        <v>144</v>
      </c>
      <c r="F80" s="303">
        <f t="shared" si="3"/>
        <v>13.113637539806689</v>
      </c>
      <c r="G80" s="304">
        <f>TRUNC(E80*F80,2)</f>
        <v>1888.36</v>
      </c>
      <c r="H80" s="305" t="e">
        <f t="shared" si="5"/>
        <v>#REF!</v>
      </c>
      <c r="I80" s="482" t="s">
        <v>106</v>
      </c>
      <c r="J80" s="483"/>
      <c r="L80" s="275">
        <v>10.9</v>
      </c>
      <c r="M80" s="275">
        <f t="shared" si="2"/>
        <v>13.113637539806689</v>
      </c>
    </row>
    <row r="81" spans="1:13" ht="12.75" customHeight="1">
      <c r="A81" s="301" t="s">
        <v>245</v>
      </c>
      <c r="B81" s="495" t="s">
        <v>246</v>
      </c>
      <c r="C81" s="495"/>
      <c r="D81" s="280" t="s">
        <v>121</v>
      </c>
      <c r="E81" s="277">
        <f>(2)*12</f>
        <v>24</v>
      </c>
      <c r="F81" s="303">
        <f t="shared" ref="F81:F103" si="8">M81</f>
        <v>16.241661173155073</v>
      </c>
      <c r="G81" s="304">
        <f t="shared" si="7"/>
        <v>389.79</v>
      </c>
      <c r="H81" s="305" t="e">
        <f t="shared" si="5"/>
        <v>#REF!</v>
      </c>
      <c r="I81" s="482" t="s">
        <v>106</v>
      </c>
      <c r="J81" s="483"/>
      <c r="L81" s="275">
        <v>13.5</v>
      </c>
      <c r="M81" s="275">
        <f t="shared" ref="M81:M108" si="9">((($M$18-$L$18)/$L$18)*L81)+L81</f>
        <v>16.241661173155073</v>
      </c>
    </row>
    <row r="82" spans="1:13" ht="12.75" customHeight="1">
      <c r="A82" s="301" t="s">
        <v>247</v>
      </c>
      <c r="B82" s="489" t="s">
        <v>248</v>
      </c>
      <c r="C82" s="490"/>
      <c r="D82" s="280" t="s">
        <v>121</v>
      </c>
      <c r="E82" s="277">
        <f>(5+4+4)*12</f>
        <v>156</v>
      </c>
      <c r="F82" s="303">
        <f t="shared" si="8"/>
        <v>42.10801044892056</v>
      </c>
      <c r="G82" s="304">
        <f t="shared" si="7"/>
        <v>6568.84</v>
      </c>
      <c r="H82" s="305" t="e">
        <f t="shared" ref="H82:H108" si="10">G82/$G$124</f>
        <v>#REF!</v>
      </c>
      <c r="I82" s="482" t="s">
        <v>106</v>
      </c>
      <c r="J82" s="483"/>
      <c r="L82" s="275">
        <v>35</v>
      </c>
      <c r="M82" s="275">
        <f t="shared" si="9"/>
        <v>42.10801044892056</v>
      </c>
    </row>
    <row r="83" spans="1:13" ht="12.75" customHeight="1">
      <c r="A83" s="301" t="s">
        <v>249</v>
      </c>
      <c r="B83" s="432" t="s">
        <v>250</v>
      </c>
      <c r="C83" s="433"/>
      <c r="D83" s="280" t="s">
        <v>121</v>
      </c>
      <c r="E83" s="281">
        <f>(10+4+4)*12</f>
        <v>216</v>
      </c>
      <c r="F83" s="303">
        <f t="shared" si="8"/>
        <v>14.43703215391562</v>
      </c>
      <c r="G83" s="304">
        <f t="shared" si="7"/>
        <v>3118.39</v>
      </c>
      <c r="H83" s="305" t="e">
        <f t="shared" si="10"/>
        <v>#REF!</v>
      </c>
      <c r="I83" s="482" t="s">
        <v>106</v>
      </c>
      <c r="J83" s="483"/>
      <c r="L83" s="275">
        <v>12</v>
      </c>
      <c r="M83" s="275">
        <f t="shared" si="9"/>
        <v>14.43703215391562</v>
      </c>
    </row>
    <row r="84" spans="1:13" ht="12.75" customHeight="1">
      <c r="A84" s="301" t="s">
        <v>251</v>
      </c>
      <c r="B84" s="432" t="s">
        <v>252</v>
      </c>
      <c r="C84" s="433"/>
      <c r="D84" s="280" t="s">
        <v>121</v>
      </c>
      <c r="E84" s="281">
        <f>(5)*12</f>
        <v>60</v>
      </c>
      <c r="F84" s="303">
        <f t="shared" si="8"/>
        <v>1.2030860128263017</v>
      </c>
      <c r="G84" s="304">
        <f t="shared" si="7"/>
        <v>72.180000000000007</v>
      </c>
      <c r="H84" s="305" t="e">
        <f t="shared" si="10"/>
        <v>#REF!</v>
      </c>
      <c r="I84" s="482" t="s">
        <v>106</v>
      </c>
      <c r="J84" s="483"/>
      <c r="L84" s="275">
        <v>1</v>
      </c>
      <c r="M84" s="275">
        <f t="shared" si="9"/>
        <v>1.2030860128263017</v>
      </c>
    </row>
    <row r="85" spans="1:13" ht="12.75" customHeight="1">
      <c r="A85" s="301" t="s">
        <v>253</v>
      </c>
      <c r="B85" s="432" t="s">
        <v>254</v>
      </c>
      <c r="C85" s="433"/>
      <c r="D85" s="280" t="s">
        <v>121</v>
      </c>
      <c r="E85" s="281">
        <f>(4+4+4)*12</f>
        <v>144</v>
      </c>
      <c r="F85" s="303">
        <f t="shared" si="8"/>
        <v>2.4061720256526034</v>
      </c>
      <c r="G85" s="304">
        <f t="shared" si="7"/>
        <v>346.48</v>
      </c>
      <c r="H85" s="305" t="e">
        <f t="shared" si="10"/>
        <v>#REF!</v>
      </c>
      <c r="I85" s="482" t="s">
        <v>106</v>
      </c>
      <c r="J85" s="483"/>
      <c r="L85" s="275">
        <v>2</v>
      </c>
      <c r="M85" s="275">
        <f t="shared" si="9"/>
        <v>2.4061720256526034</v>
      </c>
    </row>
    <row r="86" spans="1:13" ht="12.75" customHeight="1">
      <c r="A86" s="301" t="s">
        <v>255</v>
      </c>
      <c r="B86" s="432" t="s">
        <v>256</v>
      </c>
      <c r="C86" s="433"/>
      <c r="D86" s="280" t="s">
        <v>121</v>
      </c>
      <c r="E86" s="281">
        <f>(10+2+4)*12</f>
        <v>192</v>
      </c>
      <c r="F86" s="303">
        <f t="shared" si="8"/>
        <v>3.9581529821985324</v>
      </c>
      <c r="G86" s="304">
        <f t="shared" si="7"/>
        <v>759.96</v>
      </c>
      <c r="H86" s="305" t="e">
        <f t="shared" si="10"/>
        <v>#REF!</v>
      </c>
      <c r="I86" s="482" t="s">
        <v>106</v>
      </c>
      <c r="J86" s="483"/>
      <c r="L86" s="275">
        <v>3.29</v>
      </c>
      <c r="M86" s="275">
        <f t="shared" si="9"/>
        <v>3.9581529821985324</v>
      </c>
    </row>
    <row r="87" spans="1:13" ht="12.75" customHeight="1">
      <c r="A87" s="301" t="s">
        <v>257</v>
      </c>
      <c r="B87" s="432" t="s">
        <v>258</v>
      </c>
      <c r="C87" s="433"/>
      <c r="D87" s="280" t="s">
        <v>121</v>
      </c>
      <c r="E87" s="281">
        <f>(10+2+2)*12</f>
        <v>168</v>
      </c>
      <c r="F87" s="303">
        <f t="shared" si="8"/>
        <v>4.8003131911769437</v>
      </c>
      <c r="G87" s="304">
        <f t="shared" si="7"/>
        <v>806.45</v>
      </c>
      <c r="H87" s="305" t="e">
        <f t="shared" si="10"/>
        <v>#REF!</v>
      </c>
      <c r="I87" s="482" t="s">
        <v>106</v>
      </c>
      <c r="J87" s="483"/>
      <c r="L87" s="275">
        <v>3.99</v>
      </c>
      <c r="M87" s="275">
        <f t="shared" si="9"/>
        <v>4.8003131911769437</v>
      </c>
    </row>
    <row r="88" spans="1:13" ht="12.75" customHeight="1">
      <c r="A88" s="301" t="s">
        <v>259</v>
      </c>
      <c r="B88" s="432" t="s">
        <v>260</v>
      </c>
      <c r="C88" s="433"/>
      <c r="D88" s="280" t="s">
        <v>121</v>
      </c>
      <c r="E88" s="281">
        <f>(5)*12</f>
        <v>60</v>
      </c>
      <c r="F88" s="303">
        <f t="shared" si="8"/>
        <v>19.129067603938196</v>
      </c>
      <c r="G88" s="304">
        <f t="shared" si="7"/>
        <v>1147.74</v>
      </c>
      <c r="H88" s="305" t="e">
        <f t="shared" si="10"/>
        <v>#REF!</v>
      </c>
      <c r="I88" s="482" t="s">
        <v>106</v>
      </c>
      <c r="J88" s="483"/>
      <c r="L88" s="275">
        <v>15.9</v>
      </c>
      <c r="M88" s="275">
        <f t="shared" si="9"/>
        <v>19.129067603938196</v>
      </c>
    </row>
    <row r="89" spans="1:13" ht="12.75" customHeight="1">
      <c r="A89" s="301" t="s">
        <v>261</v>
      </c>
      <c r="B89" s="432" t="s">
        <v>262</v>
      </c>
      <c r="C89" s="433"/>
      <c r="D89" s="280" t="s">
        <v>121</v>
      </c>
      <c r="E89" s="281">
        <f>(10)*12</f>
        <v>120</v>
      </c>
      <c r="F89" s="303">
        <f t="shared" si="8"/>
        <v>20.332153616764497</v>
      </c>
      <c r="G89" s="304">
        <f t="shared" si="7"/>
        <v>2439.85</v>
      </c>
      <c r="H89" s="305" t="e">
        <f t="shared" si="10"/>
        <v>#REF!</v>
      </c>
      <c r="I89" s="482" t="s">
        <v>106</v>
      </c>
      <c r="J89" s="483"/>
      <c r="L89" s="275">
        <v>16.899999999999999</v>
      </c>
      <c r="M89" s="275">
        <f t="shared" si="9"/>
        <v>20.332153616764497</v>
      </c>
    </row>
    <row r="90" spans="1:13" ht="12.75" customHeight="1">
      <c r="A90" s="301" t="s">
        <v>263</v>
      </c>
      <c r="B90" s="395" t="s">
        <v>264</v>
      </c>
      <c r="C90" s="396"/>
      <c r="D90" s="280" t="s">
        <v>121</v>
      </c>
      <c r="E90" s="281">
        <f>(4)*12</f>
        <v>48</v>
      </c>
      <c r="F90" s="303">
        <f t="shared" si="8"/>
        <v>1201.8829268134753</v>
      </c>
      <c r="G90" s="304">
        <f>TRUNC(E90*F90,2)</f>
        <v>57690.38</v>
      </c>
      <c r="H90" s="305" t="e">
        <f t="shared" si="10"/>
        <v>#REF!</v>
      </c>
      <c r="I90" s="482" t="s">
        <v>106</v>
      </c>
      <c r="J90" s="483"/>
      <c r="L90" s="275">
        <v>999</v>
      </c>
      <c r="M90" s="275">
        <f t="shared" si="9"/>
        <v>1201.8829268134753</v>
      </c>
    </row>
    <row r="91" spans="1:13" ht="12.75" customHeight="1">
      <c r="A91" s="301" t="s">
        <v>265</v>
      </c>
      <c r="B91" s="432" t="s">
        <v>266</v>
      </c>
      <c r="C91" s="433"/>
      <c r="D91" s="280" t="s">
        <v>121</v>
      </c>
      <c r="E91" s="281">
        <f>(5)*12</f>
        <v>60</v>
      </c>
      <c r="F91" s="303">
        <f t="shared" si="8"/>
        <v>31.159927732201211</v>
      </c>
      <c r="G91" s="304">
        <f t="shared" si="7"/>
        <v>1869.59</v>
      </c>
      <c r="H91" s="305" t="e">
        <f t="shared" si="10"/>
        <v>#REF!</v>
      </c>
      <c r="I91" s="482" t="s">
        <v>106</v>
      </c>
      <c r="J91" s="483"/>
      <c r="L91" s="275">
        <v>25.9</v>
      </c>
      <c r="M91" s="275">
        <f t="shared" si="9"/>
        <v>31.159927732201211</v>
      </c>
    </row>
    <row r="92" spans="1:13" ht="12.75" customHeight="1">
      <c r="A92" s="301" t="s">
        <v>267</v>
      </c>
      <c r="B92" s="432" t="s">
        <v>268</v>
      </c>
      <c r="C92" s="433"/>
      <c r="D92" s="280" t="s">
        <v>269</v>
      </c>
      <c r="E92" s="281">
        <f>(4)*12</f>
        <v>48</v>
      </c>
      <c r="F92" s="303">
        <f t="shared" si="8"/>
        <v>28.75375570654861</v>
      </c>
      <c r="G92" s="304">
        <f t="shared" si="7"/>
        <v>1380.18</v>
      </c>
      <c r="H92" s="305" t="e">
        <f t="shared" si="10"/>
        <v>#REF!</v>
      </c>
      <c r="I92" s="482" t="s">
        <v>106</v>
      </c>
      <c r="J92" s="483"/>
      <c r="L92" s="275">
        <v>23.9</v>
      </c>
      <c r="M92" s="275">
        <f t="shared" si="9"/>
        <v>28.75375570654861</v>
      </c>
    </row>
    <row r="93" spans="1:13" ht="12.75" customHeight="1">
      <c r="A93" s="301" t="s">
        <v>270</v>
      </c>
      <c r="B93" s="432" t="s">
        <v>271</v>
      </c>
      <c r="C93" s="433"/>
      <c r="D93" s="280" t="s">
        <v>121</v>
      </c>
      <c r="E93" s="281">
        <f>(8+8+8)*12</f>
        <v>288</v>
      </c>
      <c r="F93" s="303">
        <f t="shared" si="8"/>
        <v>6.4966644692620292</v>
      </c>
      <c r="G93" s="304">
        <f t="shared" si="7"/>
        <v>1871.03</v>
      </c>
      <c r="H93" s="305" t="e">
        <f t="shared" si="10"/>
        <v>#REF!</v>
      </c>
      <c r="I93" s="482" t="s">
        <v>106</v>
      </c>
      <c r="J93" s="483"/>
      <c r="L93" s="275">
        <v>5.4</v>
      </c>
      <c r="M93" s="275">
        <f t="shared" si="9"/>
        <v>6.4966644692620292</v>
      </c>
    </row>
    <row r="94" spans="1:13" ht="12.75" customHeight="1">
      <c r="A94" s="301" t="s">
        <v>272</v>
      </c>
      <c r="B94" s="432" t="s">
        <v>273</v>
      </c>
      <c r="C94" s="433"/>
      <c r="D94" s="280" t="s">
        <v>269</v>
      </c>
      <c r="E94" s="281">
        <f>(5+2+2)*12</f>
        <v>108</v>
      </c>
      <c r="F94" s="303">
        <f t="shared" si="8"/>
        <v>31.159927732201211</v>
      </c>
      <c r="G94" s="304">
        <f t="shared" si="7"/>
        <v>3365.27</v>
      </c>
      <c r="H94" s="305" t="e">
        <f t="shared" si="10"/>
        <v>#REF!</v>
      </c>
      <c r="I94" s="482" t="s">
        <v>106</v>
      </c>
      <c r="J94" s="483"/>
      <c r="L94" s="275">
        <v>25.9</v>
      </c>
      <c r="M94" s="275">
        <f t="shared" si="9"/>
        <v>31.159927732201211</v>
      </c>
    </row>
    <row r="95" spans="1:13" ht="12.75" customHeight="1">
      <c r="A95" s="301" t="s">
        <v>274</v>
      </c>
      <c r="B95" s="432" t="s">
        <v>275</v>
      </c>
      <c r="C95" s="433"/>
      <c r="D95" s="280" t="s">
        <v>121</v>
      </c>
      <c r="E95" s="281">
        <f>(4)*12</f>
        <v>48</v>
      </c>
      <c r="F95" s="303">
        <f t="shared" si="8"/>
        <v>84.216020897841119</v>
      </c>
      <c r="G95" s="304">
        <f t="shared" si="7"/>
        <v>4042.36</v>
      </c>
      <c r="H95" s="305" t="e">
        <f t="shared" si="10"/>
        <v>#REF!</v>
      </c>
      <c r="I95" s="482" t="s">
        <v>106</v>
      </c>
      <c r="J95" s="483"/>
      <c r="L95" s="275">
        <v>70</v>
      </c>
      <c r="M95" s="275">
        <f t="shared" si="9"/>
        <v>84.216020897841119</v>
      </c>
    </row>
    <row r="96" spans="1:13" ht="12.75" customHeight="1">
      <c r="A96" s="301" t="s">
        <v>276</v>
      </c>
      <c r="B96" s="432" t="s">
        <v>277</v>
      </c>
      <c r="C96" s="433"/>
      <c r="D96" s="280" t="s">
        <v>121</v>
      </c>
      <c r="E96" s="281">
        <f>(10+4+4)*12</f>
        <v>216</v>
      </c>
      <c r="F96" s="303">
        <f t="shared" si="8"/>
        <v>3.837844380915902</v>
      </c>
      <c r="G96" s="304">
        <f t="shared" si="7"/>
        <v>828.97</v>
      </c>
      <c r="H96" s="305" t="e">
        <f t="shared" si="10"/>
        <v>#REF!</v>
      </c>
      <c r="I96" s="482" t="s">
        <v>106</v>
      </c>
      <c r="J96" s="483"/>
      <c r="L96" s="275">
        <v>3.19</v>
      </c>
      <c r="M96" s="275">
        <f t="shared" si="9"/>
        <v>3.837844380915902</v>
      </c>
    </row>
    <row r="97" spans="1:13" ht="12.75" customHeight="1">
      <c r="A97" s="301" t="s">
        <v>278</v>
      </c>
      <c r="B97" s="432" t="s">
        <v>279</v>
      </c>
      <c r="C97" s="433"/>
      <c r="D97" s="280" t="s">
        <v>121</v>
      </c>
      <c r="E97" s="281">
        <f>(10+2+2)*12</f>
        <v>168</v>
      </c>
      <c r="F97" s="303">
        <f t="shared" si="8"/>
        <v>12.030860128263017</v>
      </c>
      <c r="G97" s="304">
        <f>TRUNC(E97*F97,2)</f>
        <v>2021.18</v>
      </c>
      <c r="H97" s="305" t="e">
        <f t="shared" si="10"/>
        <v>#REF!</v>
      </c>
      <c r="I97" s="482" t="s">
        <v>106</v>
      </c>
      <c r="J97" s="483"/>
      <c r="L97" s="275">
        <v>10</v>
      </c>
      <c r="M97" s="275">
        <f t="shared" si="9"/>
        <v>12.030860128263017</v>
      </c>
    </row>
    <row r="98" spans="1:13" ht="12.75" customHeight="1">
      <c r="A98" s="301" t="s">
        <v>280</v>
      </c>
      <c r="B98" s="432" t="s">
        <v>281</v>
      </c>
      <c r="C98" s="433"/>
      <c r="D98" s="280" t="s">
        <v>121</v>
      </c>
      <c r="E98" s="281">
        <f>(5+10+10)*12</f>
        <v>300</v>
      </c>
      <c r="F98" s="303">
        <f t="shared" si="8"/>
        <v>1.2030860128263017</v>
      </c>
      <c r="G98" s="304">
        <f t="shared" si="7"/>
        <v>360.92</v>
      </c>
      <c r="H98" s="305" t="e">
        <f t="shared" si="10"/>
        <v>#REF!</v>
      </c>
      <c r="I98" s="482" t="s">
        <v>106</v>
      </c>
      <c r="J98" s="483"/>
      <c r="L98" s="275">
        <v>1</v>
      </c>
      <c r="M98" s="275">
        <f t="shared" si="9"/>
        <v>1.2030860128263017</v>
      </c>
    </row>
    <row r="99" spans="1:13" ht="12.75" customHeight="1">
      <c r="A99" s="301" t="s">
        <v>282</v>
      </c>
      <c r="B99" s="432" t="s">
        <v>283</v>
      </c>
      <c r="C99" s="433"/>
      <c r="D99" s="280" t="s">
        <v>121</v>
      </c>
      <c r="E99" s="281">
        <f>(10)*12</f>
        <v>120</v>
      </c>
      <c r="F99" s="303">
        <f t="shared" si="8"/>
        <v>36.092580384789052</v>
      </c>
      <c r="G99" s="304">
        <f t="shared" si="7"/>
        <v>4331.1000000000004</v>
      </c>
      <c r="H99" s="305" t="e">
        <f t="shared" si="10"/>
        <v>#REF!</v>
      </c>
      <c r="I99" s="482" t="s">
        <v>106</v>
      </c>
      <c r="J99" s="483"/>
      <c r="L99" s="275">
        <v>30</v>
      </c>
      <c r="M99" s="275">
        <f t="shared" si="9"/>
        <v>36.092580384789052</v>
      </c>
    </row>
    <row r="100" spans="1:13" ht="12.75" customHeight="1">
      <c r="A100" s="301" t="s">
        <v>284</v>
      </c>
      <c r="B100" s="432" t="s">
        <v>285</v>
      </c>
      <c r="C100" s="433"/>
      <c r="D100" s="280" t="s">
        <v>121</v>
      </c>
      <c r="E100" s="281">
        <f>(5+4+4)*12</f>
        <v>156</v>
      </c>
      <c r="F100" s="303">
        <f t="shared" si="8"/>
        <v>9.504379501327783</v>
      </c>
      <c r="G100" s="304">
        <f t="shared" si="7"/>
        <v>1482.68</v>
      </c>
      <c r="H100" s="305" t="e">
        <f t="shared" si="10"/>
        <v>#REF!</v>
      </c>
      <c r="I100" s="482" t="s">
        <v>106</v>
      </c>
      <c r="J100" s="483"/>
      <c r="L100" s="275">
        <v>7.9</v>
      </c>
      <c r="M100" s="275">
        <f t="shared" si="9"/>
        <v>9.504379501327783</v>
      </c>
    </row>
    <row r="101" spans="1:13" ht="12.75" customHeight="1">
      <c r="A101" s="301" t="s">
        <v>286</v>
      </c>
      <c r="B101" s="432" t="s">
        <v>287</v>
      </c>
      <c r="C101" s="433"/>
      <c r="D101" s="280" t="s">
        <v>121</v>
      </c>
      <c r="E101" s="281">
        <f>(10)*2</f>
        <v>20</v>
      </c>
      <c r="F101" s="303">
        <f t="shared" si="8"/>
        <v>419.87701847637925</v>
      </c>
      <c r="G101" s="304">
        <f t="shared" si="7"/>
        <v>8397.5400000000009</v>
      </c>
      <c r="H101" s="305" t="e">
        <f t="shared" si="10"/>
        <v>#REF!</v>
      </c>
      <c r="I101" s="482" t="s">
        <v>106</v>
      </c>
      <c r="J101" s="483"/>
      <c r="L101" s="275">
        <v>349</v>
      </c>
      <c r="M101" s="275">
        <f t="shared" si="9"/>
        <v>419.87701847637925</v>
      </c>
    </row>
    <row r="102" spans="1:13" ht="12.75" customHeight="1">
      <c r="A102" s="301" t="s">
        <v>288</v>
      </c>
      <c r="B102" s="432" t="s">
        <v>289</v>
      </c>
      <c r="C102" s="433"/>
      <c r="D102" s="280" t="s">
        <v>121</v>
      </c>
      <c r="E102" s="281">
        <f>(10+1+1)*2</f>
        <v>24</v>
      </c>
      <c r="F102" s="303">
        <f t="shared" si="8"/>
        <v>107.676198147954</v>
      </c>
      <c r="G102" s="304">
        <f t="shared" si="7"/>
        <v>2584.2199999999998</v>
      </c>
      <c r="H102" s="305" t="e">
        <f t="shared" si="10"/>
        <v>#REF!</v>
      </c>
      <c r="I102" s="482" t="s">
        <v>106</v>
      </c>
      <c r="J102" s="483"/>
      <c r="L102" s="275">
        <v>89.5</v>
      </c>
      <c r="M102" s="275">
        <f t="shared" si="9"/>
        <v>107.676198147954</v>
      </c>
    </row>
    <row r="103" spans="1:13" ht="12.75" customHeight="1">
      <c r="A103" s="301" t="s">
        <v>290</v>
      </c>
      <c r="B103" s="432" t="s">
        <v>291</v>
      </c>
      <c r="C103" s="433"/>
      <c r="D103" s="280" t="s">
        <v>121</v>
      </c>
      <c r="E103" s="281">
        <f>(4)*2</f>
        <v>8</v>
      </c>
      <c r="F103" s="303">
        <f t="shared" si="8"/>
        <v>119.10551526980386</v>
      </c>
      <c r="G103" s="304">
        <f t="shared" si="7"/>
        <v>952.84</v>
      </c>
      <c r="H103" s="305" t="e">
        <f t="shared" si="10"/>
        <v>#REF!</v>
      </c>
      <c r="I103" s="482" t="s">
        <v>106</v>
      </c>
      <c r="J103" s="483"/>
      <c r="L103" s="275">
        <v>99</v>
      </c>
      <c r="M103" s="275">
        <f t="shared" si="9"/>
        <v>119.10551526980386</v>
      </c>
    </row>
    <row r="104" spans="1:13" ht="12.75" customHeight="1">
      <c r="A104" s="301" t="s">
        <v>292</v>
      </c>
      <c r="B104" s="432" t="s">
        <v>293</v>
      </c>
      <c r="C104" s="433"/>
      <c r="D104" s="280" t="s">
        <v>121</v>
      </c>
      <c r="E104" s="281">
        <v>2</v>
      </c>
      <c r="F104" s="303">
        <f>M104</f>
        <v>782.00590833709612</v>
      </c>
      <c r="G104" s="304">
        <f>TRUNC(E104*F104,2)</f>
        <v>1564.01</v>
      </c>
      <c r="H104" s="305" t="e">
        <f>G104/$G$124</f>
        <v>#REF!</v>
      </c>
      <c r="I104" s="482" t="s">
        <v>106</v>
      </c>
      <c r="J104" s="483"/>
      <c r="L104" s="275">
        <v>650</v>
      </c>
      <c r="M104" s="275">
        <f>((($M$18-$L$18)/$L$18)*L104)+L104</f>
        <v>782.00590833709612</v>
      </c>
    </row>
    <row r="105" spans="1:13" ht="12.75" customHeight="1">
      <c r="A105" s="301" t="s">
        <v>294</v>
      </c>
      <c r="B105" s="495" t="s">
        <v>295</v>
      </c>
      <c r="C105" s="495"/>
      <c r="D105" s="278" t="s">
        <v>208</v>
      </c>
      <c r="E105" s="277">
        <v>4</v>
      </c>
      <c r="F105" s="277">
        <f>(274.89+329+340+264.29+399)/5</f>
        <v>321.43600000000004</v>
      </c>
      <c r="G105" s="304">
        <f>TRUNC(E105*F105,2)</f>
        <v>1285.74</v>
      </c>
      <c r="H105" s="305" t="e">
        <f t="shared" si="10"/>
        <v>#REF!</v>
      </c>
      <c r="I105" s="491" t="s">
        <v>195</v>
      </c>
      <c r="J105" s="492"/>
      <c r="L105" s="275"/>
      <c r="M105" s="275">
        <f t="shared" si="9"/>
        <v>0</v>
      </c>
    </row>
    <row r="106" spans="1:13" ht="12.75" customHeight="1">
      <c r="A106" s="301" t="s">
        <v>296</v>
      </c>
      <c r="B106" s="495" t="s">
        <v>297</v>
      </c>
      <c r="C106" s="495"/>
      <c r="D106" s="278" t="s">
        <v>298</v>
      </c>
      <c r="E106" s="277">
        <f>((10000*(26/1.5))*12)/1000</f>
        <v>2079.9999999999995</v>
      </c>
      <c r="F106" s="303">
        <v>125</v>
      </c>
      <c r="G106" s="304">
        <f>TRUNC(E106*F106,2)</f>
        <v>260000</v>
      </c>
      <c r="H106" s="305" t="e">
        <f t="shared" si="10"/>
        <v>#REF!</v>
      </c>
      <c r="I106" s="491" t="s">
        <v>299</v>
      </c>
      <c r="J106" s="492"/>
      <c r="L106" s="275"/>
      <c r="M106" s="275">
        <f t="shared" si="9"/>
        <v>0</v>
      </c>
    </row>
    <row r="107" spans="1:13" ht="12.75" customHeight="1">
      <c r="A107" s="301" t="s">
        <v>300</v>
      </c>
      <c r="B107" s="495" t="s">
        <v>301</v>
      </c>
      <c r="C107" s="495"/>
      <c r="D107" s="278" t="s">
        <v>302</v>
      </c>
      <c r="E107" s="277">
        <f>12*(15*6)</f>
        <v>1080</v>
      </c>
      <c r="F107" s="277">
        <v>4</v>
      </c>
      <c r="G107" s="304">
        <f>TRUNC(E107*F107,2)</f>
        <v>4320</v>
      </c>
      <c r="H107" s="305" t="e">
        <f t="shared" si="10"/>
        <v>#REF!</v>
      </c>
      <c r="I107" s="270" t="s">
        <v>100</v>
      </c>
      <c r="J107" s="271">
        <v>10527</v>
      </c>
      <c r="K107">
        <f>E106/16</f>
        <v>129.99999999999997</v>
      </c>
      <c r="L107" s="275"/>
      <c r="M107" s="275">
        <f t="shared" si="9"/>
        <v>0</v>
      </c>
    </row>
    <row r="108" spans="1:13" ht="12.75" customHeight="1">
      <c r="A108" s="301" t="s">
        <v>303</v>
      </c>
      <c r="B108" s="495" t="s">
        <v>304</v>
      </c>
      <c r="C108" s="495"/>
      <c r="D108" s="278" t="s">
        <v>305</v>
      </c>
      <c r="E108" s="277" t="e">
        <f>(0.3*#REF!)*3</f>
        <v>#REF!</v>
      </c>
      <c r="F108" s="277">
        <v>0.33</v>
      </c>
      <c r="G108" s="304" t="e">
        <f>TRUNC(E108*F108,2)</f>
        <v>#REF!</v>
      </c>
      <c r="H108" s="305" t="e">
        <f t="shared" si="10"/>
        <v>#REF!</v>
      </c>
      <c r="I108" s="270" t="s">
        <v>100</v>
      </c>
      <c r="J108" s="271">
        <v>1107</v>
      </c>
      <c r="L108" s="275"/>
      <c r="M108" s="275">
        <f t="shared" si="9"/>
        <v>0</v>
      </c>
    </row>
    <row r="109" spans="1:13" ht="12.75" customHeight="1">
      <c r="A109" s="301"/>
      <c r="B109" s="408"/>
      <c r="C109" s="408"/>
      <c r="D109" s="302"/>
      <c r="E109" s="303"/>
      <c r="F109" s="303"/>
      <c r="G109" s="304"/>
      <c r="H109" s="305"/>
      <c r="I109" s="270"/>
      <c r="J109" s="271"/>
      <c r="L109" s="417"/>
      <c r="M109" s="417"/>
    </row>
    <row r="110" spans="1:13" ht="15">
      <c r="A110" s="231"/>
      <c r="B110" s="232"/>
      <c r="C110" s="232"/>
      <c r="D110" s="232"/>
      <c r="E110" s="232"/>
      <c r="F110" s="232"/>
      <c r="G110" s="232"/>
      <c r="H110" s="232"/>
      <c r="I110" s="232"/>
      <c r="J110" s="233"/>
      <c r="L110" s="417">
        <v>16</v>
      </c>
      <c r="M110" s="417">
        <v>200</v>
      </c>
    </row>
    <row r="111" spans="1:13" ht="23.25" customHeight="1">
      <c r="A111" s="313" t="s">
        <v>23</v>
      </c>
      <c r="B111" s="429" t="s">
        <v>306</v>
      </c>
      <c r="C111" s="429"/>
      <c r="D111" s="314"/>
      <c r="E111" s="315"/>
      <c r="F111" s="316"/>
      <c r="G111" s="316">
        <f>SUM(G112:G118)</f>
        <v>1072255.53</v>
      </c>
      <c r="H111" s="317" t="e">
        <f>SUM(H112:H118)</f>
        <v>#REF!</v>
      </c>
      <c r="I111" s="430"/>
      <c r="J111" s="431"/>
      <c r="L111" s="285">
        <v>10</v>
      </c>
      <c r="M111" s="272"/>
    </row>
    <row r="112" spans="1:13" ht="26.25" customHeight="1">
      <c r="A112" s="301" t="s">
        <v>25</v>
      </c>
      <c r="B112" s="493" t="s">
        <v>307</v>
      </c>
      <c r="C112" s="493"/>
      <c r="D112" s="302" t="s">
        <v>308</v>
      </c>
      <c r="E112" s="286">
        <f>(200*12)*3</f>
        <v>7200</v>
      </c>
      <c r="F112" s="303">
        <f>'COMP CUSTO'!$G$148</f>
        <v>62.05</v>
      </c>
      <c r="G112" s="304">
        <f t="shared" ref="G112:G118" si="11">TRUNC(E112*F112,2)</f>
        <v>446760</v>
      </c>
      <c r="H112" s="305" t="e">
        <f t="shared" ref="H112:H118" si="12">G112/$G$124</f>
        <v>#REF!</v>
      </c>
      <c r="I112" s="223" t="s">
        <v>309</v>
      </c>
      <c r="J112" s="224" t="s">
        <v>310</v>
      </c>
      <c r="L112" s="285"/>
      <c r="M112" s="272">
        <f>L111*M110/L110</f>
        <v>125</v>
      </c>
    </row>
    <row r="113" spans="1:13" ht="15" customHeight="1">
      <c r="A113" s="301" t="s">
        <v>311</v>
      </c>
      <c r="B113" s="493" t="s">
        <v>312</v>
      </c>
      <c r="C113" s="493"/>
      <c r="D113" s="302" t="s">
        <v>308</v>
      </c>
      <c r="E113" s="286">
        <f>(200*12)*5</f>
        <v>12000</v>
      </c>
      <c r="F113" s="303">
        <f>'COMP CUSTO'!$G$160</f>
        <v>1.56</v>
      </c>
      <c r="G113" s="304">
        <f t="shared" si="11"/>
        <v>18720</v>
      </c>
      <c r="H113" s="305" t="e">
        <f t="shared" si="12"/>
        <v>#REF!</v>
      </c>
      <c r="I113" s="269" t="s">
        <v>313</v>
      </c>
      <c r="J113" s="224">
        <v>4222</v>
      </c>
      <c r="L113" s="285"/>
      <c r="M113" s="272"/>
    </row>
    <row r="114" spans="1:13" ht="39.75" customHeight="1">
      <c r="A114" s="301" t="s">
        <v>314</v>
      </c>
      <c r="B114" s="493" t="s">
        <v>315</v>
      </c>
      <c r="C114" s="493"/>
      <c r="D114" s="302" t="s">
        <v>308</v>
      </c>
      <c r="E114" s="286">
        <f>(200*12)*66.66%</f>
        <v>1599.84</v>
      </c>
      <c r="F114" s="303">
        <f>'COMP CUSTO'!G136</f>
        <v>122.49</v>
      </c>
      <c r="G114" s="304">
        <f t="shared" si="11"/>
        <v>195964.4</v>
      </c>
      <c r="H114" s="305" t="e">
        <f t="shared" si="12"/>
        <v>#REF!</v>
      </c>
      <c r="I114" s="223" t="s">
        <v>100</v>
      </c>
      <c r="J114" s="224">
        <v>5901</v>
      </c>
      <c r="L114" s="285"/>
      <c r="M114" s="272"/>
    </row>
    <row r="115" spans="1:13" ht="26.25" customHeight="1">
      <c r="A115" s="301" t="s">
        <v>316</v>
      </c>
      <c r="B115" s="493" t="s">
        <v>317</v>
      </c>
      <c r="C115" s="493"/>
      <c r="D115" s="302" t="s">
        <v>308</v>
      </c>
      <c r="E115" s="286">
        <f>(200*12)*33.33%</f>
        <v>799.92</v>
      </c>
      <c r="F115" s="303">
        <f>'COMP CUSTO'!$G$172</f>
        <v>115.68</v>
      </c>
      <c r="G115" s="304">
        <f t="shared" si="11"/>
        <v>92534.74</v>
      </c>
      <c r="H115" s="305" t="e">
        <f t="shared" si="12"/>
        <v>#REF!</v>
      </c>
      <c r="I115" s="223" t="s">
        <v>100</v>
      </c>
      <c r="J115" s="224">
        <v>5940</v>
      </c>
      <c r="L115" s="285"/>
      <c r="M115" s="417"/>
    </row>
    <row r="116" spans="1:13" ht="15" customHeight="1">
      <c r="A116" s="301" t="s">
        <v>318</v>
      </c>
      <c r="B116" s="493" t="s">
        <v>319</v>
      </c>
      <c r="C116" s="493"/>
      <c r="D116" s="302" t="s">
        <v>308</v>
      </c>
      <c r="E116" s="286">
        <f>(200*12)*8</f>
        <v>19200</v>
      </c>
      <c r="F116" s="303">
        <f>'COMP CUSTO'!G184</f>
        <v>1.36</v>
      </c>
      <c r="G116" s="304">
        <f t="shared" si="11"/>
        <v>26112</v>
      </c>
      <c r="H116" s="305" t="e">
        <f t="shared" si="12"/>
        <v>#REF!</v>
      </c>
      <c r="I116" s="223" t="s">
        <v>100</v>
      </c>
      <c r="J116" s="224">
        <v>10559</v>
      </c>
      <c r="L116" s="285"/>
      <c r="M116" s="417"/>
    </row>
    <row r="117" spans="1:13" ht="15" customHeight="1">
      <c r="A117" s="301" t="s">
        <v>320</v>
      </c>
      <c r="B117" s="493" t="s">
        <v>321</v>
      </c>
      <c r="C117" s="493"/>
      <c r="D117" s="302" t="s">
        <v>308</v>
      </c>
      <c r="E117" s="286">
        <f>200*12</f>
        <v>2400</v>
      </c>
      <c r="F117" s="303">
        <f>'COMP CUSTO'!G196</f>
        <v>73.37</v>
      </c>
      <c r="G117" s="304">
        <f t="shared" si="11"/>
        <v>176088</v>
      </c>
      <c r="H117" s="305" t="e">
        <f t="shared" si="12"/>
        <v>#REF!</v>
      </c>
      <c r="I117" s="223" t="s">
        <v>100</v>
      </c>
      <c r="J117" s="224">
        <v>7012</v>
      </c>
      <c r="L117" s="285"/>
      <c r="M117" s="417"/>
    </row>
    <row r="118" spans="1:13" ht="15" customHeight="1">
      <c r="A118" s="301" t="s">
        <v>322</v>
      </c>
      <c r="B118" s="493" t="s">
        <v>323</v>
      </c>
      <c r="C118" s="493"/>
      <c r="D118" s="302" t="s">
        <v>308</v>
      </c>
      <c r="E118" s="286">
        <f>(200*12)*33.33%</f>
        <v>799.92</v>
      </c>
      <c r="F118" s="303">
        <f>'COMP CUSTO'!G208</f>
        <v>145.11000000000001</v>
      </c>
      <c r="G118" s="304">
        <f t="shared" si="11"/>
        <v>116076.39</v>
      </c>
      <c r="H118" s="305" t="e">
        <f t="shared" si="12"/>
        <v>#REF!</v>
      </c>
      <c r="I118" s="223" t="s">
        <v>100</v>
      </c>
      <c r="J118" s="224">
        <v>84151</v>
      </c>
      <c r="L118" s="417"/>
      <c r="M118" s="417"/>
    </row>
    <row r="119" spans="1:13" ht="15" customHeight="1">
      <c r="A119" s="306"/>
      <c r="B119" s="551"/>
      <c r="C119" s="551"/>
      <c r="D119" s="308"/>
      <c r="E119" s="286">
        <f>(200*12)*3</f>
        <v>7200</v>
      </c>
      <c r="F119" s="309"/>
      <c r="G119" s="310"/>
      <c r="H119" s="288"/>
      <c r="I119" s="289"/>
      <c r="J119" s="312"/>
      <c r="L119" s="417"/>
      <c r="M119" s="417"/>
    </row>
    <row r="120" spans="1:13" ht="15.75" thickBot="1">
      <c r="A120" s="140"/>
      <c r="B120" s="9"/>
      <c r="C120" s="147"/>
      <c r="D120" s="9"/>
      <c r="E120" s="10"/>
      <c r="F120" s="10"/>
      <c r="G120" s="148"/>
      <c r="H120" s="149"/>
      <c r="I120" s="14"/>
      <c r="J120" s="15"/>
      <c r="L120" s="417"/>
      <c r="M120" s="417"/>
    </row>
    <row r="121" spans="1:13" ht="15" customHeight="1" thickBot="1">
      <c r="A121" s="536"/>
      <c r="B121" s="543" t="s">
        <v>324</v>
      </c>
      <c r="C121" s="544"/>
      <c r="D121" s="544"/>
      <c r="E121" s="545"/>
      <c r="F121" s="524" t="s">
        <v>325</v>
      </c>
      <c r="G121" s="525"/>
      <c r="H121" s="521" t="s">
        <v>326</v>
      </c>
      <c r="I121" s="522"/>
      <c r="J121" s="523"/>
      <c r="L121" s="417"/>
      <c r="M121" s="417"/>
    </row>
    <row r="122" spans="1:13" ht="15" customHeight="1" thickBot="1">
      <c r="A122" s="537"/>
      <c r="B122" s="546"/>
      <c r="C122" s="547"/>
      <c r="D122" s="547"/>
      <c r="E122" s="548"/>
      <c r="F122" s="526" t="e">
        <f>G11</f>
        <v>#REF!</v>
      </c>
      <c r="G122" s="527"/>
      <c r="H122" s="521" t="e">
        <f>G124-F122</f>
        <v>#REF!</v>
      </c>
      <c r="I122" s="522"/>
      <c r="J122" s="523"/>
      <c r="K122" s="237" t="e">
        <f>F122/G124</f>
        <v>#REF!</v>
      </c>
      <c r="L122" s="417"/>
      <c r="M122" s="417"/>
    </row>
    <row r="123" spans="1:13" ht="6" customHeight="1" thickBot="1">
      <c r="A123" s="137"/>
      <c r="B123" s="210"/>
      <c r="C123" s="549"/>
      <c r="D123" s="549"/>
      <c r="E123" s="549"/>
      <c r="F123" s="549"/>
      <c r="G123" s="549"/>
      <c r="H123" s="549"/>
      <c r="I123" s="549"/>
      <c r="J123" s="550"/>
      <c r="L123" s="417"/>
      <c r="M123" s="417"/>
    </row>
    <row r="124" spans="1:13" ht="15" customHeight="1" thickBot="1">
      <c r="A124" s="16"/>
      <c r="B124" s="540"/>
      <c r="C124" s="541"/>
      <c r="D124" s="18"/>
      <c r="E124" s="397" t="s">
        <v>31</v>
      </c>
      <c r="F124" s="19"/>
      <c r="G124" s="20" t="e">
        <f>G111+G18+G11</f>
        <v>#REF!</v>
      </c>
      <c r="H124" s="521"/>
      <c r="I124" s="522"/>
      <c r="J124" s="523"/>
      <c r="L124" s="417"/>
      <c r="M124" s="417"/>
    </row>
    <row r="125" spans="1:13" ht="6" customHeight="1" thickBot="1">
      <c r="A125" s="8"/>
      <c r="B125" s="211"/>
      <c r="C125" s="147"/>
      <c r="D125" s="9"/>
      <c r="E125" s="10"/>
      <c r="F125" s="11"/>
      <c r="G125" s="12"/>
      <c r="H125" s="13"/>
      <c r="I125" s="14"/>
      <c r="J125" s="15"/>
      <c r="L125" s="417"/>
      <c r="M125" s="417"/>
    </row>
    <row r="126" spans="1:13" ht="15" customHeight="1" thickBot="1">
      <c r="A126" s="16"/>
      <c r="B126" s="540" t="s">
        <v>327</v>
      </c>
      <c r="C126" s="541"/>
      <c r="D126" s="541"/>
      <c r="E126" s="542"/>
      <c r="F126" s="21" t="e">
        <f>#REF!</f>
        <v>#REF!</v>
      </c>
      <c r="G126" s="20" t="e">
        <f>F126*G124</f>
        <v>#REF!</v>
      </c>
      <c r="H126" s="521"/>
      <c r="I126" s="522"/>
      <c r="J126" s="523"/>
      <c r="L126" s="417"/>
      <c r="M126" s="417"/>
    </row>
    <row r="127" spans="1:13" ht="5.25" customHeight="1" thickBot="1">
      <c r="A127" s="22"/>
      <c r="B127" s="23"/>
      <c r="C127" s="23"/>
      <c r="D127" s="23"/>
      <c r="E127" s="23"/>
      <c r="F127" s="23"/>
      <c r="G127" s="23"/>
      <c r="H127" s="538"/>
      <c r="I127" s="538"/>
      <c r="J127" s="539"/>
      <c r="L127" s="417"/>
      <c r="M127" s="417"/>
    </row>
    <row r="128" spans="1:13" ht="15" customHeight="1" thickBot="1">
      <c r="A128" s="16"/>
      <c r="B128" s="17"/>
      <c r="C128" s="18"/>
      <c r="D128" s="18"/>
      <c r="E128" s="397" t="s">
        <v>328</v>
      </c>
      <c r="F128" s="24"/>
      <c r="G128" s="25" t="e">
        <f>G124+G126</f>
        <v>#REF!</v>
      </c>
      <c r="H128" s="521"/>
      <c r="I128" s="522"/>
      <c r="J128" s="523"/>
      <c r="L128" s="417"/>
      <c r="M128" s="417"/>
    </row>
    <row r="129" spans="1:10" ht="15" customHeight="1">
      <c r="A129" s="151"/>
      <c r="B129" s="212"/>
      <c r="C129" s="152"/>
      <c r="D129" s="152"/>
      <c r="E129" s="153"/>
      <c r="F129" s="154"/>
      <c r="G129" s="155"/>
      <c r="H129" s="156"/>
      <c r="I129" s="156"/>
      <c r="J129" s="157"/>
    </row>
    <row r="130" spans="1:10" ht="15" customHeight="1">
      <c r="A130" s="151"/>
      <c r="B130" s="212"/>
      <c r="C130" s="152"/>
      <c r="D130" s="152"/>
      <c r="E130" s="153"/>
      <c r="F130" s="154"/>
      <c r="G130" s="155"/>
      <c r="H130" s="156"/>
      <c r="I130" s="156"/>
      <c r="J130" s="157"/>
    </row>
    <row r="131" spans="1:10" ht="15" customHeight="1">
      <c r="A131" s="151"/>
      <c r="B131" s="212"/>
      <c r="C131" s="152"/>
      <c r="D131" s="152"/>
      <c r="E131" s="153"/>
      <c r="F131" s="154"/>
      <c r="G131" s="155"/>
      <c r="H131" s="156"/>
      <c r="I131" s="156"/>
      <c r="J131" s="157"/>
    </row>
    <row r="132" spans="1:10" ht="15" customHeight="1">
      <c r="A132" s="151"/>
      <c r="B132" s="212"/>
      <c r="C132" s="152"/>
      <c r="D132" s="152"/>
      <c r="E132" s="153"/>
      <c r="F132" s="154"/>
      <c r="G132" s="155"/>
      <c r="H132" s="156"/>
      <c r="I132" s="156"/>
      <c r="J132" s="157"/>
    </row>
    <row r="133" spans="1:10" ht="21.75" customHeight="1">
      <c r="A133" s="164" t="s">
        <v>33</v>
      </c>
      <c r="B133" s="9"/>
      <c r="C133" s="147"/>
      <c r="D133" s="9"/>
      <c r="E133" s="10"/>
      <c r="F133" s="10"/>
      <c r="G133" s="148"/>
      <c r="H133" s="149"/>
      <c r="I133" s="14"/>
      <c r="J133" s="15"/>
    </row>
    <row r="134" spans="1:10" ht="36.75" customHeight="1">
      <c r="A134" s="260">
        <v>1</v>
      </c>
      <c r="B134" s="424" t="s">
        <v>329</v>
      </c>
      <c r="C134" s="424"/>
      <c r="D134" s="424"/>
      <c r="E134" s="424"/>
      <c r="F134" s="424"/>
      <c r="G134" s="424"/>
      <c r="H134" s="424"/>
      <c r="I134" s="424"/>
      <c r="J134" s="425"/>
    </row>
    <row r="135" spans="1:10" ht="26.25" customHeight="1">
      <c r="A135" s="260">
        <v>2</v>
      </c>
      <c r="B135" s="424" t="s">
        <v>330</v>
      </c>
      <c r="C135" s="424"/>
      <c r="D135" s="424"/>
      <c r="E135" s="424"/>
      <c r="F135" s="424"/>
      <c r="G135" s="424"/>
      <c r="H135" s="424"/>
      <c r="I135" s="424"/>
      <c r="J135" s="425"/>
    </row>
    <row r="136" spans="1:10" ht="13.5" customHeight="1">
      <c r="A136" s="260">
        <v>3</v>
      </c>
      <c r="B136" s="424" t="s">
        <v>331</v>
      </c>
      <c r="C136" s="424"/>
      <c r="D136" s="424"/>
      <c r="E136" s="424"/>
      <c r="F136" s="424"/>
      <c r="G136" s="424"/>
      <c r="H136" s="424"/>
      <c r="I136" s="424"/>
      <c r="J136" s="425"/>
    </row>
    <row r="137" spans="1:10" ht="13.5" customHeight="1">
      <c r="A137" s="260">
        <v>4</v>
      </c>
      <c r="B137" s="424" t="s">
        <v>332</v>
      </c>
      <c r="C137" s="424"/>
      <c r="D137" s="424"/>
      <c r="E137" s="424"/>
      <c r="F137" s="424"/>
      <c r="G137" s="424"/>
      <c r="H137" s="424"/>
      <c r="I137" s="424"/>
      <c r="J137" s="425"/>
    </row>
    <row r="138" spans="1:10" ht="27" customHeight="1">
      <c r="A138" s="260">
        <v>5</v>
      </c>
      <c r="B138" s="424" t="s">
        <v>333</v>
      </c>
      <c r="C138" s="424"/>
      <c r="D138" s="424"/>
      <c r="E138" s="424"/>
      <c r="F138" s="424"/>
      <c r="G138" s="424"/>
      <c r="H138" s="424"/>
      <c r="I138" s="424"/>
      <c r="J138" s="425"/>
    </row>
    <row r="139" spans="1:10" ht="35.25" customHeight="1">
      <c r="A139" s="260">
        <v>6</v>
      </c>
      <c r="B139" s="424" t="s">
        <v>334</v>
      </c>
      <c r="C139" s="424"/>
      <c r="D139" s="424"/>
      <c r="E139" s="424"/>
      <c r="F139" s="424"/>
      <c r="G139" s="424"/>
      <c r="H139" s="424"/>
      <c r="I139" s="424"/>
      <c r="J139" s="425"/>
    </row>
    <row r="140" spans="1:10" ht="30" customHeight="1">
      <c r="A140" s="260">
        <v>7</v>
      </c>
      <c r="B140" s="424" t="s">
        <v>335</v>
      </c>
      <c r="C140" s="424"/>
      <c r="D140" s="424"/>
      <c r="E140" s="424"/>
      <c r="F140" s="424"/>
      <c r="G140" s="424"/>
      <c r="H140" s="424"/>
      <c r="I140" s="424"/>
      <c r="J140" s="425"/>
    </row>
    <row r="141" spans="1:10" ht="24.75" customHeight="1">
      <c r="A141" s="260">
        <v>8</v>
      </c>
      <c r="B141" s="424" t="s">
        <v>336</v>
      </c>
      <c r="C141" s="424"/>
      <c r="D141" s="424"/>
      <c r="E141" s="424"/>
      <c r="F141" s="424"/>
      <c r="G141" s="424"/>
      <c r="H141" s="424"/>
      <c r="I141" s="424"/>
      <c r="J141" s="425"/>
    </row>
    <row r="142" spans="1:10" ht="24.75" customHeight="1">
      <c r="A142" s="165"/>
      <c r="B142" s="213"/>
      <c r="C142" s="192"/>
      <c r="D142" s="193"/>
      <c r="E142" s="193"/>
      <c r="F142" s="193"/>
      <c r="G142" s="193"/>
      <c r="H142" s="193"/>
      <c r="I142" s="193"/>
      <c r="J142" s="194"/>
    </row>
    <row r="143" spans="1:10" ht="21.75" customHeight="1" thickBot="1">
      <c r="A143" s="150"/>
      <c r="B143" s="214"/>
      <c r="C143" s="195"/>
      <c r="D143" s="195"/>
      <c r="E143" s="195"/>
      <c r="F143" s="195"/>
      <c r="G143" s="195"/>
      <c r="H143" s="195"/>
      <c r="I143" s="195"/>
      <c r="J143" s="196"/>
    </row>
  </sheetData>
  <mergeCells count="237">
    <mergeCell ref="H124:J124"/>
    <mergeCell ref="I72:J72"/>
    <mergeCell ref="B117:C117"/>
    <mergeCell ref="B141:J141"/>
    <mergeCell ref="I66:J66"/>
    <mergeCell ref="I67:J67"/>
    <mergeCell ref="I68:J68"/>
    <mergeCell ref="I71:J71"/>
    <mergeCell ref="B138:J138"/>
    <mergeCell ref="I58:J58"/>
    <mergeCell ref="I105:J105"/>
    <mergeCell ref="I106:J106"/>
    <mergeCell ref="B137:J137"/>
    <mergeCell ref="B136:J136"/>
    <mergeCell ref="B135:J135"/>
    <mergeCell ref="B134:J134"/>
    <mergeCell ref="H127:J127"/>
    <mergeCell ref="B126:E126"/>
    <mergeCell ref="B121:E122"/>
    <mergeCell ref="C123:J123"/>
    <mergeCell ref="B140:J140"/>
    <mergeCell ref="B116:C116"/>
    <mergeCell ref="B124:C124"/>
    <mergeCell ref="B66:C66"/>
    <mergeCell ref="B119:C119"/>
    <mergeCell ref="B139:J139"/>
    <mergeCell ref="H126:J126"/>
    <mergeCell ref="B111:C111"/>
    <mergeCell ref="B65:C65"/>
    <mergeCell ref="B60:C60"/>
    <mergeCell ref="B64:C64"/>
    <mergeCell ref="B57:C57"/>
    <mergeCell ref="B58:C58"/>
    <mergeCell ref="I44:J44"/>
    <mergeCell ref="I45:J45"/>
    <mergeCell ref="A121:A122"/>
    <mergeCell ref="B56:C56"/>
    <mergeCell ref="B51:C51"/>
    <mergeCell ref="I57:J57"/>
    <mergeCell ref="I65:J65"/>
    <mergeCell ref="B45:C45"/>
    <mergeCell ref="I111:J111"/>
    <mergeCell ref="I12:J12"/>
    <mergeCell ref="I13:J13"/>
    <mergeCell ref="I14:J14"/>
    <mergeCell ref="I15:J15"/>
    <mergeCell ref="I41:J41"/>
    <mergeCell ref="I42:J42"/>
    <mergeCell ref="I36:J36"/>
    <mergeCell ref="I37:J37"/>
    <mergeCell ref="I38:J38"/>
    <mergeCell ref="I39:J39"/>
    <mergeCell ref="I59:J59"/>
    <mergeCell ref="I19:J19"/>
    <mergeCell ref="I20:J20"/>
    <mergeCell ref="I21:J21"/>
    <mergeCell ref="I22:J22"/>
    <mergeCell ref="I23:J23"/>
    <mergeCell ref="I24:J24"/>
    <mergeCell ref="I26:J26"/>
    <mergeCell ref="I30:J30"/>
    <mergeCell ref="I40:J40"/>
    <mergeCell ref="I43:J43"/>
    <mergeCell ref="C2:J2"/>
    <mergeCell ref="C1:J1"/>
    <mergeCell ref="C6:J6"/>
    <mergeCell ref="C5:J5"/>
    <mergeCell ref="C4:J4"/>
    <mergeCell ref="B19:C19"/>
    <mergeCell ref="B18:C18"/>
    <mergeCell ref="B10:C10"/>
    <mergeCell ref="H128:J128"/>
    <mergeCell ref="H122:J122"/>
    <mergeCell ref="H121:J121"/>
    <mergeCell ref="F121:G121"/>
    <mergeCell ref="F122:G122"/>
    <mergeCell ref="C8:F8"/>
    <mergeCell ref="C9:F9"/>
    <mergeCell ref="G8:H8"/>
    <mergeCell ref="G9:H9"/>
    <mergeCell ref="B59:C59"/>
    <mergeCell ref="C7:J7"/>
    <mergeCell ref="I11:J11"/>
    <mergeCell ref="B52:C52"/>
    <mergeCell ref="B53:C53"/>
    <mergeCell ref="B118:C118"/>
    <mergeCell ref="I18:J18"/>
    <mergeCell ref="B92:C92"/>
    <mergeCell ref="B93:C93"/>
    <mergeCell ref="B94:C94"/>
    <mergeCell ref="B95:C95"/>
    <mergeCell ref="B96:C96"/>
    <mergeCell ref="B98:C98"/>
    <mergeCell ref="B97:C97"/>
    <mergeCell ref="B104:C104"/>
    <mergeCell ref="C3:J3"/>
    <mergeCell ref="I46:J46"/>
    <mergeCell ref="I47:J47"/>
    <mergeCell ref="I49:J49"/>
    <mergeCell ref="B44:C44"/>
    <mergeCell ref="B16:C16"/>
    <mergeCell ref="B40:C40"/>
    <mergeCell ref="B43:C43"/>
    <mergeCell ref="I8:J8"/>
    <mergeCell ref="I50:J50"/>
    <mergeCell ref="I51:J51"/>
    <mergeCell ref="I52:J52"/>
    <mergeCell ref="I53:J53"/>
    <mergeCell ref="I54:J54"/>
    <mergeCell ref="B11:C11"/>
    <mergeCell ref="B49:C49"/>
    <mergeCell ref="B50:C50"/>
    <mergeCell ref="B12:C12"/>
    <mergeCell ref="B13:C13"/>
    <mergeCell ref="B14:C14"/>
    <mergeCell ref="I9:J9"/>
    <mergeCell ref="I10:J10"/>
    <mergeCell ref="I28:J28"/>
    <mergeCell ref="I27:J27"/>
    <mergeCell ref="B20:C20"/>
    <mergeCell ref="B28:C28"/>
    <mergeCell ref="B27:C27"/>
    <mergeCell ref="B29:C29"/>
    <mergeCell ref="I29:J29"/>
    <mergeCell ref="B25:C25"/>
    <mergeCell ref="I25:J25"/>
    <mergeCell ref="B30:C30"/>
    <mergeCell ref="B15:C15"/>
    <mergeCell ref="B67:C67"/>
    <mergeCell ref="B31:C31"/>
    <mergeCell ref="B36:C36"/>
    <mergeCell ref="B37:C37"/>
    <mergeCell ref="B61:C61"/>
    <mergeCell ref="B41:C41"/>
    <mergeCell ref="B42:C42"/>
    <mergeCell ref="B54:C54"/>
    <mergeCell ref="B55:C55"/>
    <mergeCell ref="B21:C21"/>
    <mergeCell ref="B22:C22"/>
    <mergeCell ref="B23:C23"/>
    <mergeCell ref="B24:C24"/>
    <mergeCell ref="B26:C26"/>
    <mergeCell ref="B63:C63"/>
    <mergeCell ref="B32:C32"/>
    <mergeCell ref="B33:C33"/>
    <mergeCell ref="B39:C39"/>
    <mergeCell ref="B62:C62"/>
    <mergeCell ref="B34:C34"/>
    <mergeCell ref="B38:C38"/>
    <mergeCell ref="B46:C46"/>
    <mergeCell ref="B47:C47"/>
    <mergeCell ref="I85:J85"/>
    <mergeCell ref="B87:C87"/>
    <mergeCell ref="B82:C82"/>
    <mergeCell ref="B83:C83"/>
    <mergeCell ref="B84:C84"/>
    <mergeCell ref="B79:C79"/>
    <mergeCell ref="B80:C80"/>
    <mergeCell ref="B69:C69"/>
    <mergeCell ref="B68:C68"/>
    <mergeCell ref="B72:C72"/>
    <mergeCell ref="B73:C73"/>
    <mergeCell ref="B74:C74"/>
    <mergeCell ref="B75:C75"/>
    <mergeCell ref="B76:C76"/>
    <mergeCell ref="B77:C77"/>
    <mergeCell ref="B78:C78"/>
    <mergeCell ref="B115:C115"/>
    <mergeCell ref="B114:C114"/>
    <mergeCell ref="B113:C113"/>
    <mergeCell ref="B112:C112"/>
    <mergeCell ref="B70:C70"/>
    <mergeCell ref="B71:C71"/>
    <mergeCell ref="B86:C86"/>
    <mergeCell ref="I60:J60"/>
    <mergeCell ref="I61:J61"/>
    <mergeCell ref="I62:J62"/>
    <mergeCell ref="B81:C81"/>
    <mergeCell ref="B85:C85"/>
    <mergeCell ref="B99:C99"/>
    <mergeCell ref="B100:C100"/>
    <mergeCell ref="B101:C101"/>
    <mergeCell ref="B102:C102"/>
    <mergeCell ref="B103:C103"/>
    <mergeCell ref="B105:C105"/>
    <mergeCell ref="B88:C88"/>
    <mergeCell ref="B89:C89"/>
    <mergeCell ref="B91:C91"/>
    <mergeCell ref="B106:C106"/>
    <mergeCell ref="B107:C107"/>
    <mergeCell ref="B108:C108"/>
    <mergeCell ref="B35:C35"/>
    <mergeCell ref="I35:J35"/>
    <mergeCell ref="B48:C48"/>
    <mergeCell ref="I48:J48"/>
    <mergeCell ref="I69:J69"/>
    <mergeCell ref="I70:J70"/>
    <mergeCell ref="I86:J86"/>
    <mergeCell ref="I87:J87"/>
    <mergeCell ref="I88:J88"/>
    <mergeCell ref="I73:J73"/>
    <mergeCell ref="I78:J78"/>
    <mergeCell ref="I79:J79"/>
    <mergeCell ref="I80:J80"/>
    <mergeCell ref="I81:J81"/>
    <mergeCell ref="I55:J55"/>
    <mergeCell ref="I56:J56"/>
    <mergeCell ref="I74:J74"/>
    <mergeCell ref="I76:J76"/>
    <mergeCell ref="I100:J100"/>
    <mergeCell ref="S19:S21"/>
    <mergeCell ref="I92:J92"/>
    <mergeCell ref="I93:J93"/>
    <mergeCell ref="I94:J94"/>
    <mergeCell ref="I95:J95"/>
    <mergeCell ref="I96:J96"/>
    <mergeCell ref="I97:J97"/>
    <mergeCell ref="I82:J82"/>
    <mergeCell ref="I63:J63"/>
    <mergeCell ref="I64:J64"/>
    <mergeCell ref="I34:J34"/>
    <mergeCell ref="I89:J89"/>
    <mergeCell ref="I90:J90"/>
    <mergeCell ref="I91:J91"/>
    <mergeCell ref="I32:J32"/>
    <mergeCell ref="I31:J31"/>
    <mergeCell ref="I33:J33"/>
    <mergeCell ref="I104:J104"/>
    <mergeCell ref="I101:J101"/>
    <mergeCell ref="I102:J102"/>
    <mergeCell ref="I103:J103"/>
    <mergeCell ref="I75:J75"/>
    <mergeCell ref="I77:J77"/>
    <mergeCell ref="I98:J98"/>
    <mergeCell ref="I99:J99"/>
    <mergeCell ref="I83:J83"/>
    <mergeCell ref="I84:J84"/>
  </mergeCells>
  <conditionalFormatting sqref="F19:F103 E12:E15 F105:F108">
    <cfRule type="cellIs" dxfId="2" priority="7" operator="equal">
      <formula>0</formula>
    </cfRule>
  </conditionalFormatting>
  <conditionalFormatting sqref="E16">
    <cfRule type="cellIs" dxfId="1" priority="2" operator="equal">
      <formula>0</formula>
    </cfRule>
  </conditionalFormatting>
  <conditionalFormatting sqref="F104">
    <cfRule type="cellIs" dxfId="0" priority="1" operator="equal">
      <formula>0</formula>
    </cfRule>
  </conditionalFormatting>
  <pageMargins left="0.25" right="0.25" top="0.75" bottom="0.75" header="0.3" footer="0.3"/>
  <pageSetup paperSize="8" scale="98" fitToHeight="0" orientation="landscape" r:id="rId1"/>
  <rowBreaks count="1" manualBreakCount="1">
    <brk id="110" max="9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6"/>
  <dimension ref="A1:E47"/>
  <sheetViews>
    <sheetView workbookViewId="0">
      <selection activeCell="H18" sqref="H18"/>
    </sheetView>
  </sheetViews>
  <sheetFormatPr defaultRowHeight="15"/>
  <cols>
    <col min="1" max="1" width="11.140625" customWidth="1"/>
    <col min="2" max="2" width="13.42578125" customWidth="1"/>
    <col min="3" max="3" width="33.7109375" customWidth="1"/>
    <col min="4" max="4" width="16.85546875" customWidth="1"/>
    <col min="5" max="5" width="14.7109375" customWidth="1"/>
  </cols>
  <sheetData>
    <row r="1" spans="1:5" ht="20.100000000000001" customHeight="1">
      <c r="A1" s="555"/>
      <c r="B1" s="755"/>
      <c r="C1" s="556" t="s">
        <v>76</v>
      </c>
      <c r="D1" s="557"/>
      <c r="E1" s="558"/>
    </row>
    <row r="2" spans="1:5" ht="20.100000000000001" customHeight="1">
      <c r="A2" s="756"/>
      <c r="B2" s="757"/>
      <c r="C2" s="507" t="s">
        <v>77</v>
      </c>
      <c r="D2" s="559"/>
      <c r="E2" s="560"/>
    </row>
    <row r="3" spans="1:5" ht="20.100000000000001" customHeight="1">
      <c r="A3" s="756"/>
      <c r="B3" s="757"/>
      <c r="C3" s="504" t="s">
        <v>78</v>
      </c>
      <c r="D3" s="561"/>
      <c r="E3" s="562"/>
    </row>
    <row r="4" spans="1:5" ht="14.25" customHeight="1">
      <c r="A4" s="756"/>
      <c r="B4" s="757"/>
      <c r="C4" s="513" t="s">
        <v>79</v>
      </c>
      <c r="D4" s="563"/>
      <c r="E4" s="564"/>
    </row>
    <row r="5" spans="1:5" ht="31.5" customHeight="1" thickBot="1">
      <c r="A5" s="758"/>
      <c r="B5" s="759"/>
      <c r="C5" s="565" t="s">
        <v>337</v>
      </c>
      <c r="D5" s="566"/>
      <c r="E5" s="567"/>
    </row>
    <row r="6" spans="1:5" ht="15" customHeight="1">
      <c r="A6" s="26"/>
      <c r="B6" s="27"/>
      <c r="C6" s="568" t="s">
        <v>82</v>
      </c>
      <c r="D6" s="569"/>
      <c r="E6" s="570"/>
    </row>
    <row r="7" spans="1:5" ht="20.100000000000001" customHeight="1">
      <c r="A7" s="571"/>
      <c r="B7" s="572"/>
      <c r="C7" s="575">
        <f>ORÇAMENTO!D7</f>
        <v>0</v>
      </c>
      <c r="D7" s="576"/>
      <c r="E7" s="577"/>
    </row>
    <row r="8" spans="1:5" ht="20.100000000000001" customHeight="1">
      <c r="A8" s="573"/>
      <c r="B8" s="572"/>
      <c r="C8" s="578"/>
      <c r="D8" s="576"/>
      <c r="E8" s="577"/>
    </row>
    <row r="9" spans="1:5" ht="17.25" customHeight="1">
      <c r="A9" s="573"/>
      <c r="B9" s="572"/>
      <c r="C9" s="578"/>
      <c r="D9" s="576"/>
      <c r="E9" s="577"/>
    </row>
    <row r="10" spans="1:5" ht="15.75" thickBot="1">
      <c r="A10" s="573"/>
      <c r="B10" s="572"/>
      <c r="C10" s="578"/>
      <c r="D10" s="576"/>
      <c r="E10" s="577"/>
    </row>
    <row r="11" spans="1:5" ht="14.25" customHeight="1">
      <c r="A11" s="579"/>
      <c r="B11" s="580"/>
      <c r="C11" s="28" t="s">
        <v>85</v>
      </c>
      <c r="D11" s="29" t="s">
        <v>86</v>
      </c>
      <c r="E11" s="30" t="s">
        <v>87</v>
      </c>
    </row>
    <row r="12" spans="1:5" ht="15" customHeight="1" thickBot="1">
      <c r="A12" s="581"/>
      <c r="B12" s="582"/>
      <c r="C12" s="46">
        <f>ORÇAMENTO!D9</f>
        <v>0</v>
      </c>
      <c r="D12" s="31">
        <f>ORÇAMENTO!G9</f>
        <v>42138</v>
      </c>
      <c r="E12" s="32">
        <f>ORÇAMENTO!I9</f>
        <v>0</v>
      </c>
    </row>
    <row r="13" spans="1:5" ht="20.100000000000001" customHeight="1">
      <c r="A13" s="33" t="s">
        <v>67</v>
      </c>
      <c r="B13" s="476" t="s">
        <v>68</v>
      </c>
      <c r="C13" s="476"/>
      <c r="D13" s="476"/>
      <c r="E13" s="34" t="s">
        <v>9</v>
      </c>
    </row>
    <row r="14" spans="1:5">
      <c r="A14" s="35">
        <v>1</v>
      </c>
      <c r="B14" s="468" t="s">
        <v>22</v>
      </c>
      <c r="C14" s="468"/>
      <c r="D14" s="468"/>
      <c r="E14" s="36" t="s">
        <v>338</v>
      </c>
    </row>
    <row r="15" spans="1:5">
      <c r="A15" s="35">
        <v>2</v>
      </c>
      <c r="B15" s="468" t="s">
        <v>339</v>
      </c>
      <c r="C15" s="468"/>
      <c r="D15" s="468"/>
      <c r="E15" s="37" t="s">
        <v>338</v>
      </c>
    </row>
    <row r="16" spans="1:5">
      <c r="A16" s="35">
        <v>3</v>
      </c>
      <c r="B16" s="468" t="s">
        <v>340</v>
      </c>
      <c r="C16" s="468"/>
      <c r="D16" s="468"/>
      <c r="E16" s="37" t="s">
        <v>338</v>
      </c>
    </row>
    <row r="17" spans="1:5">
      <c r="A17" s="38" t="s">
        <v>25</v>
      </c>
      <c r="B17" s="469" t="s">
        <v>341</v>
      </c>
      <c r="C17" s="469"/>
      <c r="D17" s="469"/>
      <c r="E17" s="39" t="s">
        <v>338</v>
      </c>
    </row>
    <row r="18" spans="1:5">
      <c r="A18" s="38" t="s">
        <v>311</v>
      </c>
      <c r="B18" s="469" t="s">
        <v>342</v>
      </c>
      <c r="C18" s="469"/>
      <c r="D18" s="469"/>
      <c r="E18" s="39" t="s">
        <v>338</v>
      </c>
    </row>
    <row r="19" spans="1:5">
      <c r="A19" s="38" t="s">
        <v>314</v>
      </c>
      <c r="B19" s="469" t="s">
        <v>343</v>
      </c>
      <c r="C19" s="469"/>
      <c r="D19" s="469"/>
      <c r="E19" s="39" t="s">
        <v>338</v>
      </c>
    </row>
    <row r="20" spans="1:5">
      <c r="A20" s="35">
        <v>4</v>
      </c>
      <c r="B20" s="468" t="s">
        <v>344</v>
      </c>
      <c r="C20" s="468"/>
      <c r="D20" s="468"/>
      <c r="E20" s="37" t="s">
        <v>338</v>
      </c>
    </row>
    <row r="21" spans="1:5">
      <c r="A21" s="35">
        <v>5</v>
      </c>
      <c r="B21" s="468" t="s">
        <v>30</v>
      </c>
      <c r="C21" s="468"/>
      <c r="D21" s="468"/>
      <c r="E21" s="37" t="s">
        <v>338</v>
      </c>
    </row>
    <row r="22" spans="1:5">
      <c r="A22" s="38" t="s">
        <v>345</v>
      </c>
      <c r="B22" s="469" t="s">
        <v>346</v>
      </c>
      <c r="C22" s="469"/>
      <c r="D22" s="139" t="e">
        <f>ORÇAMENTO!F122/ORÇAMENTO!G124</f>
        <v>#REF!</v>
      </c>
      <c r="E22" s="138" t="s">
        <v>338</v>
      </c>
    </row>
    <row r="23" spans="1:5">
      <c r="A23" s="38" t="s">
        <v>347</v>
      </c>
      <c r="B23" s="469" t="s">
        <v>348</v>
      </c>
      <c r="C23" s="469"/>
      <c r="D23" s="469"/>
      <c r="E23" s="40" t="s">
        <v>338</v>
      </c>
    </row>
    <row r="24" spans="1:5">
      <c r="A24" s="38" t="s">
        <v>349</v>
      </c>
      <c r="B24" s="469" t="s">
        <v>350</v>
      </c>
      <c r="C24" s="469"/>
      <c r="D24" s="469"/>
      <c r="E24" s="40" t="s">
        <v>338</v>
      </c>
    </row>
    <row r="25" spans="1:5" ht="34.5" customHeight="1">
      <c r="A25" s="41" t="s">
        <v>351</v>
      </c>
      <c r="B25" s="574" t="s">
        <v>352</v>
      </c>
      <c r="C25" s="574"/>
      <c r="D25" s="574"/>
      <c r="E25" s="336" t="s">
        <v>353</v>
      </c>
    </row>
    <row r="26" spans="1:5" ht="20.100000000000001" customHeight="1">
      <c r="A26" s="42" t="s">
        <v>33</v>
      </c>
      <c r="B26" s="43"/>
      <c r="C26" s="44"/>
      <c r="D26" s="44"/>
      <c r="E26" s="45"/>
    </row>
    <row r="27" spans="1:5" ht="26.25" customHeight="1">
      <c r="A27" s="478" t="s">
        <v>75</v>
      </c>
      <c r="B27" s="479"/>
      <c r="C27" s="479"/>
      <c r="D27" s="479"/>
      <c r="E27" s="480"/>
    </row>
    <row r="28" spans="1:5" ht="29.25" customHeight="1">
      <c r="A28" s="583" t="s">
        <v>354</v>
      </c>
      <c r="B28" s="584"/>
      <c r="C28" s="584"/>
      <c r="D28" s="584"/>
      <c r="E28" s="585"/>
    </row>
    <row r="29" spans="1:5" ht="27.75" customHeight="1">
      <c r="A29" s="583"/>
      <c r="B29" s="584"/>
      <c r="C29" s="584"/>
      <c r="D29" s="584"/>
      <c r="E29" s="585"/>
    </row>
    <row r="30" spans="1:5" ht="30" customHeight="1">
      <c r="A30" s="478" t="s">
        <v>355</v>
      </c>
      <c r="B30" s="479"/>
      <c r="C30" s="479"/>
      <c r="D30" s="479"/>
      <c r="E30" s="480"/>
    </row>
    <row r="31" spans="1:5">
      <c r="A31" s="478" t="s">
        <v>356</v>
      </c>
      <c r="B31" s="479"/>
      <c r="C31" s="479"/>
      <c r="D31" s="479"/>
      <c r="E31" s="480"/>
    </row>
    <row r="32" spans="1:5" ht="33.75" customHeight="1">
      <c r="A32" s="478"/>
      <c r="B32" s="479"/>
      <c r="C32" s="479"/>
      <c r="D32" s="479"/>
      <c r="E32" s="480"/>
    </row>
    <row r="33" spans="1:5" ht="60.75" customHeight="1">
      <c r="A33" s="552"/>
      <c r="B33" s="553"/>
      <c r="C33" s="553"/>
      <c r="D33" s="553"/>
      <c r="E33" s="554"/>
    </row>
    <row r="34" spans="1:5" ht="20.100000000000001" customHeight="1">
      <c r="A34" s="414"/>
      <c r="B34" s="298"/>
      <c r="C34" s="298"/>
      <c r="D34" s="298"/>
      <c r="E34" s="337"/>
    </row>
    <row r="35" spans="1:5" ht="20.100000000000001" customHeight="1">
      <c r="A35" s="414"/>
      <c r="B35" s="298"/>
      <c r="C35" s="298"/>
      <c r="D35" s="298"/>
      <c r="E35" s="337"/>
    </row>
    <row r="36" spans="1:5" ht="20.100000000000001" customHeight="1">
      <c r="A36" s="414"/>
      <c r="B36" s="298"/>
      <c r="C36" s="298"/>
      <c r="D36" s="298"/>
      <c r="E36" s="337"/>
    </row>
    <row r="37" spans="1:5" ht="20.100000000000001" customHeight="1">
      <c r="A37" s="414"/>
      <c r="B37" s="298"/>
      <c r="C37" s="298"/>
      <c r="D37" s="298"/>
      <c r="E37" s="337"/>
    </row>
    <row r="38" spans="1:5" ht="20.100000000000001" customHeight="1" thickBot="1">
      <c r="A38" s="415"/>
      <c r="B38" s="47"/>
      <c r="C38" s="47"/>
      <c r="D38" s="47"/>
      <c r="E38" s="48"/>
    </row>
    <row r="39" spans="1:5" ht="20.100000000000001" customHeight="1"/>
    <row r="40" spans="1:5" ht="20.100000000000001" customHeight="1"/>
    <row r="41" spans="1:5" ht="20.100000000000001" customHeight="1"/>
    <row r="42" spans="1:5" ht="20.100000000000001" customHeight="1"/>
    <row r="43" spans="1:5" ht="20.100000000000001" customHeight="1"/>
    <row r="44" spans="1:5" ht="20.100000000000001" customHeight="1"/>
    <row r="45" spans="1:5" ht="20.100000000000001" customHeight="1"/>
    <row r="46" spans="1:5" ht="20.100000000000001" customHeight="1"/>
    <row r="47" spans="1:5" ht="20.100000000000001" customHeight="1"/>
  </sheetData>
  <mergeCells count="30">
    <mergeCell ref="A32:E32"/>
    <mergeCell ref="B20:D20"/>
    <mergeCell ref="B21:D21"/>
    <mergeCell ref="B22:C22"/>
    <mergeCell ref="B23:D23"/>
    <mergeCell ref="B24:D24"/>
    <mergeCell ref="A12:B12"/>
    <mergeCell ref="B13:D13"/>
    <mergeCell ref="B14:D14"/>
    <mergeCell ref="B15:D15"/>
    <mergeCell ref="A28:E29"/>
    <mergeCell ref="B16:D16"/>
    <mergeCell ref="B17:D17"/>
    <mergeCell ref="B18:D18"/>
    <mergeCell ref="A33:E33"/>
    <mergeCell ref="A1:B5"/>
    <mergeCell ref="C1:E1"/>
    <mergeCell ref="C2:E2"/>
    <mergeCell ref="C3:E3"/>
    <mergeCell ref="C4:E4"/>
    <mergeCell ref="C5:E5"/>
    <mergeCell ref="B19:D19"/>
    <mergeCell ref="C6:E6"/>
    <mergeCell ref="A7:B10"/>
    <mergeCell ref="B25:D25"/>
    <mergeCell ref="A27:E27"/>
    <mergeCell ref="A30:E30"/>
    <mergeCell ref="A31:E31"/>
    <mergeCell ref="C7:E10"/>
    <mergeCell ref="A11:B11"/>
  </mergeCells>
  <pageMargins left="0.78740157480314965" right="0.39370078740157483" top="0.39370078740157483" bottom="0.39370078740157483" header="0" footer="0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7"/>
  <dimension ref="A1:E51"/>
  <sheetViews>
    <sheetView zoomScale="120" zoomScaleNormal="120" workbookViewId="0">
      <selection activeCell="A27" sqref="A27"/>
    </sheetView>
  </sheetViews>
  <sheetFormatPr defaultRowHeight="15"/>
  <cols>
    <col min="1" max="1" width="11.42578125" customWidth="1"/>
    <col min="2" max="2" width="15.42578125" customWidth="1"/>
    <col min="3" max="3" width="36.85546875" customWidth="1"/>
    <col min="4" max="4" width="11.7109375" customWidth="1"/>
    <col min="5" max="5" width="14.42578125" customWidth="1"/>
  </cols>
  <sheetData>
    <row r="1" spans="1:5" ht="15.75" customHeight="1">
      <c r="A1" s="555"/>
      <c r="B1" s="760"/>
      <c r="C1" s="589" t="s">
        <v>76</v>
      </c>
      <c r="D1" s="590"/>
      <c r="E1" s="591"/>
    </row>
    <row r="2" spans="1:5" ht="11.25" customHeight="1">
      <c r="A2" s="761"/>
      <c r="B2" s="762"/>
      <c r="C2" s="592" t="s">
        <v>77</v>
      </c>
      <c r="D2" s="763"/>
      <c r="E2" s="764"/>
    </row>
    <row r="3" spans="1:5" ht="14.25" customHeight="1">
      <c r="A3" s="761"/>
      <c r="B3" s="762"/>
      <c r="C3" s="593" t="s">
        <v>78</v>
      </c>
      <c r="D3" s="765"/>
      <c r="E3" s="766"/>
    </row>
    <row r="4" spans="1:5">
      <c r="A4" s="761"/>
      <c r="B4" s="762"/>
      <c r="C4" s="594" t="s">
        <v>79</v>
      </c>
      <c r="D4" s="767"/>
      <c r="E4" s="768"/>
    </row>
    <row r="5" spans="1:5" ht="13.5" customHeight="1" thickBot="1">
      <c r="A5" s="769"/>
      <c r="B5" s="770"/>
      <c r="C5" s="565" t="s">
        <v>357</v>
      </c>
      <c r="D5" s="771"/>
      <c r="E5" s="772"/>
    </row>
    <row r="6" spans="1:5">
      <c r="A6" s="1" t="s">
        <v>358</v>
      </c>
      <c r="B6" s="2"/>
      <c r="C6" s="586" t="s">
        <v>82</v>
      </c>
      <c r="D6" s="587"/>
      <c r="E6" s="588"/>
    </row>
    <row r="7" spans="1:5">
      <c r="A7" s="571"/>
      <c r="B7" s="572"/>
      <c r="C7" s="575">
        <f>ORÇAMENTO!D7</f>
        <v>0</v>
      </c>
      <c r="D7" s="763"/>
      <c r="E7" s="764"/>
    </row>
    <row r="8" spans="1:5">
      <c r="A8" s="573"/>
      <c r="B8" s="572"/>
      <c r="C8" s="773"/>
      <c r="D8" s="763"/>
      <c r="E8" s="764"/>
    </row>
    <row r="9" spans="1:5" ht="13.5" customHeight="1">
      <c r="A9" s="573"/>
      <c r="B9" s="572"/>
      <c r="C9" s="773"/>
      <c r="D9" s="763"/>
      <c r="E9" s="764"/>
    </row>
    <row r="10" spans="1:5" ht="8.25" customHeight="1">
      <c r="A10" s="573"/>
      <c r="B10" s="572"/>
      <c r="C10" s="773"/>
      <c r="D10" s="763"/>
      <c r="E10" s="764"/>
    </row>
    <row r="11" spans="1:5" ht="12" customHeight="1" thickBot="1">
      <c r="A11" s="573"/>
      <c r="B11" s="572"/>
      <c r="C11" s="773"/>
      <c r="D11" s="763"/>
      <c r="E11" s="764"/>
    </row>
    <row r="12" spans="1:5">
      <c r="A12" s="579" t="s">
        <v>359</v>
      </c>
      <c r="B12" s="595"/>
      <c r="C12" s="49" t="s">
        <v>85</v>
      </c>
      <c r="D12" s="50" t="s">
        <v>86</v>
      </c>
      <c r="E12" s="51" t="s">
        <v>87</v>
      </c>
    </row>
    <row r="13" spans="1:5" ht="14.25" customHeight="1" thickBot="1">
      <c r="A13" s="581"/>
      <c r="B13" s="582"/>
      <c r="C13" s="52">
        <f>ORÇAMENTO!D9</f>
        <v>0</v>
      </c>
      <c r="D13" s="416">
        <f>ORÇAMENTO!G9</f>
        <v>42138</v>
      </c>
      <c r="E13" s="32">
        <f>ORÇAMENTO!I9</f>
        <v>0</v>
      </c>
    </row>
    <row r="14" spans="1:5" ht="16.5" thickBot="1">
      <c r="A14" s="600"/>
      <c r="B14" s="601"/>
      <c r="C14" s="601"/>
      <c r="D14" s="601"/>
      <c r="E14" s="602"/>
    </row>
    <row r="15" spans="1:5" ht="28.5" customHeight="1" thickBot="1">
      <c r="A15" s="166" t="s">
        <v>36</v>
      </c>
      <c r="B15" s="596" t="s">
        <v>37</v>
      </c>
      <c r="C15" s="597"/>
      <c r="D15" s="167" t="s">
        <v>360</v>
      </c>
      <c r="E15" s="167" t="s">
        <v>361</v>
      </c>
    </row>
    <row r="16" spans="1:5" ht="15.75" customHeight="1">
      <c r="A16" s="168" t="s">
        <v>362</v>
      </c>
      <c r="B16" s="169"/>
      <c r="C16" s="169"/>
      <c r="D16" s="169"/>
      <c r="E16" s="170"/>
    </row>
    <row r="17" spans="1:5" ht="15.75">
      <c r="A17" s="171" t="s">
        <v>363</v>
      </c>
      <c r="B17" s="172" t="s">
        <v>364</v>
      </c>
      <c r="C17" s="173"/>
      <c r="D17" s="174"/>
      <c r="E17" s="175"/>
    </row>
    <row r="18" spans="1:5" ht="15.75">
      <c r="A18" s="171" t="s">
        <v>365</v>
      </c>
      <c r="B18" s="176" t="s">
        <v>366</v>
      </c>
      <c r="C18" s="177"/>
      <c r="D18" s="178"/>
      <c r="E18" s="175"/>
    </row>
    <row r="19" spans="1:5" ht="15.75">
      <c r="A19" s="171" t="s">
        <v>367</v>
      </c>
      <c r="B19" s="176" t="s">
        <v>368</v>
      </c>
      <c r="C19" s="177"/>
      <c r="D19" s="178"/>
      <c r="E19" s="175"/>
    </row>
    <row r="20" spans="1:5" ht="15.75">
      <c r="A20" s="171" t="s">
        <v>369</v>
      </c>
      <c r="B20" s="176" t="s">
        <v>370</v>
      </c>
      <c r="C20" s="177"/>
      <c r="D20" s="178"/>
      <c r="E20" s="175"/>
    </row>
    <row r="21" spans="1:5" ht="15.75">
      <c r="A21" s="171" t="s">
        <v>371</v>
      </c>
      <c r="B21" s="176" t="s">
        <v>372</v>
      </c>
      <c r="C21" s="177"/>
      <c r="D21" s="178"/>
      <c r="E21" s="175"/>
    </row>
    <row r="22" spans="1:5" ht="15.75">
      <c r="A22" s="171" t="s">
        <v>373</v>
      </c>
      <c r="B22" s="176" t="s">
        <v>374</v>
      </c>
      <c r="C22" s="177"/>
      <c r="D22" s="178"/>
      <c r="E22" s="175"/>
    </row>
    <row r="23" spans="1:5" ht="15.75">
      <c r="A23" s="171" t="s">
        <v>375</v>
      </c>
      <c r="B23" s="176" t="s">
        <v>376</v>
      </c>
      <c r="C23" s="177"/>
      <c r="D23" s="178"/>
      <c r="E23" s="175"/>
    </row>
    <row r="24" spans="1:5" ht="15.75">
      <c r="A24" s="171" t="s">
        <v>377</v>
      </c>
      <c r="B24" s="176" t="s">
        <v>378</v>
      </c>
      <c r="C24" s="177"/>
      <c r="D24" s="178"/>
      <c r="E24" s="175"/>
    </row>
    <row r="25" spans="1:5" ht="15.75" customHeight="1">
      <c r="A25" s="171" t="s">
        <v>379</v>
      </c>
      <c r="B25" s="176" t="s">
        <v>380</v>
      </c>
      <c r="C25" s="177"/>
      <c r="D25" s="178"/>
      <c r="E25" s="175"/>
    </row>
    <row r="26" spans="1:5" ht="15.75">
      <c r="A26" s="171"/>
      <c r="B26" s="179" t="s">
        <v>381</v>
      </c>
      <c r="C26" s="180"/>
      <c r="D26" s="181"/>
      <c r="E26" s="182"/>
    </row>
    <row r="27" spans="1:5" ht="15.75">
      <c r="A27" s="171"/>
      <c r="B27" s="179"/>
      <c r="C27" s="180"/>
      <c r="D27" s="181"/>
      <c r="E27" s="182"/>
    </row>
    <row r="28" spans="1:5" ht="15.75">
      <c r="A28" s="171"/>
      <c r="B28" s="176"/>
      <c r="C28" s="177"/>
      <c r="D28" s="178"/>
      <c r="E28" s="175"/>
    </row>
    <row r="29" spans="1:5" ht="15.75">
      <c r="A29" s="183" t="s">
        <v>382</v>
      </c>
      <c r="B29" s="184"/>
      <c r="C29" s="184"/>
      <c r="D29" s="184"/>
      <c r="E29" s="185"/>
    </row>
    <row r="30" spans="1:5" ht="15.75">
      <c r="A30" s="171" t="s">
        <v>383</v>
      </c>
      <c r="B30" s="176" t="s">
        <v>384</v>
      </c>
      <c r="C30" s="177"/>
      <c r="D30" s="178"/>
      <c r="E30" s="175"/>
    </row>
    <row r="31" spans="1:5" ht="15.75">
      <c r="A31" s="171" t="s">
        <v>385</v>
      </c>
      <c r="B31" s="176" t="s">
        <v>386</v>
      </c>
      <c r="C31" s="177"/>
      <c r="D31" s="178"/>
      <c r="E31" s="175"/>
    </row>
    <row r="32" spans="1:5" ht="15.75">
      <c r="A32" s="171" t="s">
        <v>387</v>
      </c>
      <c r="B32" s="176" t="s">
        <v>388</v>
      </c>
      <c r="C32" s="177"/>
      <c r="D32" s="178"/>
      <c r="E32" s="175"/>
    </row>
    <row r="33" spans="1:5" ht="15.75">
      <c r="A33" s="171" t="s">
        <v>389</v>
      </c>
      <c r="B33" s="176" t="s">
        <v>390</v>
      </c>
      <c r="C33" s="177"/>
      <c r="D33" s="178"/>
      <c r="E33" s="175"/>
    </row>
    <row r="34" spans="1:5" ht="15.75">
      <c r="A34" s="171" t="s">
        <v>391</v>
      </c>
      <c r="B34" s="176" t="s">
        <v>392</v>
      </c>
      <c r="C34" s="177"/>
      <c r="D34" s="178"/>
      <c r="E34" s="175"/>
    </row>
    <row r="35" spans="1:5" ht="15.75">
      <c r="A35" s="171" t="s">
        <v>393</v>
      </c>
      <c r="B35" s="176" t="s">
        <v>394</v>
      </c>
      <c r="C35" s="177"/>
      <c r="D35" s="178"/>
      <c r="E35" s="175"/>
    </row>
    <row r="36" spans="1:5" ht="15.75" customHeight="1">
      <c r="A36" s="171" t="s">
        <v>395</v>
      </c>
      <c r="B36" s="176" t="s">
        <v>396</v>
      </c>
      <c r="C36" s="177"/>
      <c r="D36" s="178"/>
      <c r="E36" s="175"/>
    </row>
    <row r="37" spans="1:5" ht="15.75">
      <c r="A37" s="171"/>
      <c r="B37" s="179" t="s">
        <v>397</v>
      </c>
      <c r="C37" s="180"/>
      <c r="D37" s="181"/>
      <c r="E37" s="182"/>
    </row>
    <row r="38" spans="1:5" ht="15.75">
      <c r="A38" s="171"/>
      <c r="B38" s="179"/>
      <c r="C38" s="180"/>
      <c r="D38" s="181"/>
      <c r="E38" s="182"/>
    </row>
    <row r="39" spans="1:5" ht="15.75" customHeight="1">
      <c r="A39" s="171"/>
      <c r="B39" s="176"/>
      <c r="C39" s="177"/>
      <c r="D39" s="178"/>
      <c r="E39" s="175"/>
    </row>
    <row r="40" spans="1:5" ht="15.75">
      <c r="A40" s="183" t="s">
        <v>398</v>
      </c>
      <c r="B40" s="184"/>
      <c r="C40" s="184"/>
      <c r="D40" s="184"/>
      <c r="E40" s="185"/>
    </row>
    <row r="41" spans="1:5" ht="15.75">
      <c r="A41" s="171" t="s">
        <v>399</v>
      </c>
      <c r="B41" s="176" t="s">
        <v>400</v>
      </c>
      <c r="C41" s="177"/>
      <c r="D41" s="178"/>
      <c r="E41" s="175"/>
    </row>
    <row r="42" spans="1:5" ht="15.75" customHeight="1">
      <c r="A42" s="171" t="s">
        <v>401</v>
      </c>
      <c r="B42" s="176" t="s">
        <v>402</v>
      </c>
      <c r="C42" s="177"/>
      <c r="D42" s="178"/>
      <c r="E42" s="175"/>
    </row>
    <row r="43" spans="1:5" ht="15.75">
      <c r="A43" s="171"/>
      <c r="B43" s="179" t="s">
        <v>403</v>
      </c>
      <c r="C43" s="180"/>
      <c r="D43" s="181"/>
      <c r="E43" s="182"/>
    </row>
    <row r="44" spans="1:5" ht="15.75">
      <c r="A44" s="171"/>
      <c r="B44" s="179"/>
      <c r="C44" s="180"/>
      <c r="D44" s="181"/>
      <c r="E44" s="182"/>
    </row>
    <row r="45" spans="1:5" ht="15.75">
      <c r="A45" s="171"/>
      <c r="B45" s="176"/>
      <c r="C45" s="177"/>
      <c r="D45" s="178"/>
      <c r="E45" s="175"/>
    </row>
    <row r="46" spans="1:5" ht="15.75" customHeight="1">
      <c r="A46" s="183" t="s">
        <v>404</v>
      </c>
      <c r="B46" s="184"/>
      <c r="C46" s="184"/>
      <c r="D46" s="184"/>
      <c r="E46" s="185"/>
    </row>
    <row r="47" spans="1:5" ht="15.75">
      <c r="A47" s="171" t="s">
        <v>405</v>
      </c>
      <c r="B47" s="176" t="s">
        <v>406</v>
      </c>
      <c r="C47" s="177"/>
      <c r="D47" s="178"/>
      <c r="E47" s="175"/>
    </row>
    <row r="48" spans="1:5" ht="15.75">
      <c r="A48" s="171"/>
      <c r="B48" s="179" t="s">
        <v>407</v>
      </c>
      <c r="C48" s="180"/>
      <c r="D48" s="181"/>
      <c r="E48" s="182"/>
    </row>
    <row r="49" spans="1:5" ht="15.75">
      <c r="A49" s="171"/>
      <c r="B49" s="179"/>
      <c r="C49" s="180"/>
      <c r="D49" s="181"/>
      <c r="E49" s="182"/>
    </row>
    <row r="50" spans="1:5" ht="16.5" thickBot="1">
      <c r="A50" s="186"/>
      <c r="B50" s="187"/>
      <c r="C50" s="188"/>
      <c r="D50" s="189"/>
      <c r="E50" s="182"/>
    </row>
    <row r="51" spans="1:5" ht="16.5" thickBot="1">
      <c r="A51" s="598" t="s">
        <v>408</v>
      </c>
      <c r="B51" s="599"/>
      <c r="C51" s="599"/>
      <c r="D51" s="190"/>
      <c r="E51" s="191"/>
    </row>
  </sheetData>
  <mergeCells count="14">
    <mergeCell ref="A51:C51"/>
    <mergeCell ref="A14:E14"/>
    <mergeCell ref="A7:B11"/>
    <mergeCell ref="C7:E11"/>
    <mergeCell ref="A12:B12"/>
    <mergeCell ref="A13:B13"/>
    <mergeCell ref="B15:C15"/>
    <mergeCell ref="C6:E6"/>
    <mergeCell ref="A1:B5"/>
    <mergeCell ref="C1:E1"/>
    <mergeCell ref="C2:E2"/>
    <mergeCell ref="C3:E3"/>
    <mergeCell ref="C4:E4"/>
    <mergeCell ref="C5:E5"/>
  </mergeCells>
  <pageMargins left="0.78740157480314965" right="0.39370078740157483" top="0.39370078740157483" bottom="0.39370078740157483" header="0" footer="0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8"/>
  <dimension ref="A1:AD96"/>
  <sheetViews>
    <sheetView zoomScale="70" zoomScaleNormal="70" workbookViewId="0">
      <selection activeCell="C3" sqref="C3:N3"/>
    </sheetView>
  </sheetViews>
  <sheetFormatPr defaultRowHeight="15"/>
  <cols>
    <col min="1" max="1" width="16.7109375" style="55" customWidth="1"/>
    <col min="2" max="2" width="56.42578125" style="55" customWidth="1"/>
    <col min="3" max="3" width="26.28515625" style="97" customWidth="1"/>
    <col min="4" max="5" width="6.7109375" style="97" customWidth="1"/>
    <col min="6" max="6" width="12.7109375" style="97" customWidth="1"/>
    <col min="7" max="8" width="6.7109375" style="97" customWidth="1"/>
    <col min="9" max="29" width="12.7109375" style="97" customWidth="1"/>
    <col min="30" max="30" width="17.28515625" style="55" bestFit="1" customWidth="1"/>
    <col min="31" max="16384" width="9.140625" style="55"/>
  </cols>
  <sheetData>
    <row r="1" spans="1:30" ht="27" customHeight="1">
      <c r="A1" s="53"/>
      <c r="B1" s="54"/>
      <c r="C1" s="670" t="s">
        <v>76</v>
      </c>
      <c r="D1" s="671"/>
      <c r="E1" s="671"/>
      <c r="F1" s="671"/>
      <c r="G1" s="671"/>
      <c r="H1" s="671"/>
      <c r="I1" s="671"/>
      <c r="J1" s="671"/>
      <c r="K1" s="671"/>
      <c r="L1" s="671"/>
      <c r="M1" s="671"/>
      <c r="N1" s="671"/>
      <c r="O1" s="672" t="s">
        <v>82</v>
      </c>
      <c r="P1" s="673"/>
      <c r="Q1" s="673"/>
      <c r="R1" s="673"/>
      <c r="S1" s="673"/>
      <c r="T1" s="673"/>
      <c r="U1" s="673"/>
      <c r="V1" s="673"/>
      <c r="W1" s="673"/>
      <c r="X1" s="673"/>
      <c r="Y1" s="673"/>
      <c r="Z1" s="673"/>
      <c r="AA1" s="673"/>
      <c r="AB1" s="673"/>
      <c r="AC1" s="674"/>
    </row>
    <row r="2" spans="1:30" ht="30" customHeight="1">
      <c r="A2" s="56"/>
      <c r="B2" s="57"/>
      <c r="C2" s="675" t="s">
        <v>77</v>
      </c>
      <c r="D2" s="676"/>
      <c r="E2" s="676"/>
      <c r="F2" s="676"/>
      <c r="G2" s="676"/>
      <c r="H2" s="676"/>
      <c r="I2" s="676"/>
      <c r="J2" s="676"/>
      <c r="K2" s="676"/>
      <c r="L2" s="676"/>
      <c r="M2" s="676"/>
      <c r="N2" s="676"/>
      <c r="O2" s="677">
        <f>ORÇAMENTO!D7</f>
        <v>0</v>
      </c>
      <c r="P2" s="678"/>
      <c r="Q2" s="678"/>
      <c r="R2" s="678"/>
      <c r="S2" s="678"/>
      <c r="T2" s="678"/>
      <c r="U2" s="678"/>
      <c r="V2" s="678"/>
      <c r="W2" s="678"/>
      <c r="X2" s="678"/>
      <c r="Y2" s="678"/>
      <c r="Z2" s="678"/>
      <c r="AA2" s="678"/>
      <c r="AB2" s="678"/>
      <c r="AC2" s="679"/>
    </row>
    <row r="3" spans="1:30" ht="30.75" customHeight="1">
      <c r="A3" s="58"/>
      <c r="B3" s="59"/>
      <c r="C3" s="683" t="s">
        <v>78</v>
      </c>
      <c r="D3" s="684"/>
      <c r="E3" s="684"/>
      <c r="F3" s="684"/>
      <c r="G3" s="684"/>
      <c r="H3" s="684"/>
      <c r="I3" s="684"/>
      <c r="J3" s="684"/>
      <c r="K3" s="684"/>
      <c r="L3" s="684"/>
      <c r="M3" s="684"/>
      <c r="N3" s="685"/>
      <c r="O3" s="677"/>
      <c r="P3" s="678"/>
      <c r="Q3" s="678"/>
      <c r="R3" s="678"/>
      <c r="S3" s="678"/>
      <c r="T3" s="678"/>
      <c r="U3" s="678"/>
      <c r="V3" s="678"/>
      <c r="W3" s="678"/>
      <c r="X3" s="678"/>
      <c r="Y3" s="678"/>
      <c r="Z3" s="678"/>
      <c r="AA3" s="678"/>
      <c r="AB3" s="678"/>
      <c r="AC3" s="679"/>
    </row>
    <row r="4" spans="1:30" ht="24.75" customHeight="1">
      <c r="A4" s="639" t="s">
        <v>358</v>
      </c>
      <c r="B4" s="640"/>
      <c r="C4" s="641" t="s">
        <v>79</v>
      </c>
      <c r="D4" s="642"/>
      <c r="E4" s="642"/>
      <c r="F4" s="642"/>
      <c r="G4" s="642"/>
      <c r="H4" s="642"/>
      <c r="I4" s="642"/>
      <c r="J4" s="642"/>
      <c r="K4" s="642"/>
      <c r="L4" s="642"/>
      <c r="M4" s="642"/>
      <c r="N4" s="642"/>
      <c r="O4" s="677"/>
      <c r="P4" s="678"/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8"/>
      <c r="AB4" s="678"/>
      <c r="AC4" s="679"/>
    </row>
    <row r="5" spans="1:30" ht="33.75" customHeight="1">
      <c r="A5" s="643"/>
      <c r="B5" s="644"/>
      <c r="C5" s="646" t="s">
        <v>409</v>
      </c>
      <c r="D5" s="647"/>
      <c r="E5" s="647"/>
      <c r="F5" s="647"/>
      <c r="G5" s="647"/>
      <c r="H5" s="647"/>
      <c r="I5" s="647"/>
      <c r="J5" s="647"/>
      <c r="K5" s="647"/>
      <c r="L5" s="647"/>
      <c r="M5" s="647"/>
      <c r="N5" s="647"/>
      <c r="O5" s="680"/>
      <c r="P5" s="681"/>
      <c r="Q5" s="681"/>
      <c r="R5" s="681"/>
      <c r="S5" s="681"/>
      <c r="T5" s="681"/>
      <c r="U5" s="681"/>
      <c r="V5" s="681"/>
      <c r="W5" s="681"/>
      <c r="X5" s="681"/>
      <c r="Y5" s="681"/>
      <c r="Z5" s="681"/>
      <c r="AA5" s="681"/>
      <c r="AB5" s="681"/>
      <c r="AC5" s="682"/>
    </row>
    <row r="6" spans="1:30" ht="18.75" customHeight="1">
      <c r="A6" s="645"/>
      <c r="B6" s="644"/>
      <c r="C6" s="648" t="s">
        <v>359</v>
      </c>
      <c r="D6" s="649"/>
      <c r="E6" s="649"/>
      <c r="F6" s="649"/>
      <c r="G6" s="649"/>
      <c r="H6" s="649"/>
      <c r="I6" s="650"/>
      <c r="J6" s="651" t="s">
        <v>85</v>
      </c>
      <c r="K6" s="652"/>
      <c r="L6" s="652"/>
      <c r="M6" s="652"/>
      <c r="N6" s="652"/>
      <c r="O6" s="651" t="s">
        <v>86</v>
      </c>
      <c r="P6" s="652"/>
      <c r="Q6" s="652"/>
      <c r="R6" s="652"/>
      <c r="S6" s="652"/>
      <c r="T6" s="689"/>
      <c r="U6" s="651" t="s">
        <v>410</v>
      </c>
      <c r="V6" s="652"/>
      <c r="W6" s="652"/>
      <c r="X6" s="689"/>
      <c r="Y6" s="651" t="s">
        <v>87</v>
      </c>
      <c r="Z6" s="652"/>
      <c r="AA6" s="652"/>
      <c r="AB6" s="652"/>
      <c r="AC6" s="690"/>
    </row>
    <row r="7" spans="1:30" ht="33.75" customHeight="1">
      <c r="A7" s="645"/>
      <c r="B7" s="644"/>
      <c r="C7" s="653"/>
      <c r="D7" s="654"/>
      <c r="E7" s="654"/>
      <c r="F7" s="654"/>
      <c r="G7" s="654"/>
      <c r="H7" s="654"/>
      <c r="I7" s="655"/>
      <c r="J7" s="656">
        <f>ORÇAMENTO!D9</f>
        <v>0</v>
      </c>
      <c r="K7" s="657"/>
      <c r="L7" s="657"/>
      <c r="M7" s="657"/>
      <c r="N7" s="657"/>
      <c r="O7" s="663">
        <f>ORÇAMENTO!G9</f>
        <v>42138</v>
      </c>
      <c r="P7" s="664"/>
      <c r="Q7" s="664"/>
      <c r="R7" s="664"/>
      <c r="S7" s="664"/>
      <c r="T7" s="665"/>
      <c r="U7" s="663" t="e">
        <f>ORÇAMENTO!#REF!</f>
        <v>#REF!</v>
      </c>
      <c r="V7" s="664"/>
      <c r="W7" s="664"/>
      <c r="X7" s="665"/>
      <c r="Y7" s="686">
        <f>ORÇAMENTO!I9</f>
        <v>0</v>
      </c>
      <c r="Z7" s="687"/>
      <c r="AA7" s="687"/>
      <c r="AB7" s="687"/>
      <c r="AC7" s="688"/>
    </row>
    <row r="8" spans="1:30" ht="15" customHeight="1">
      <c r="A8" s="666"/>
      <c r="B8" s="667"/>
      <c r="C8" s="667"/>
      <c r="D8" s="667"/>
      <c r="E8" s="667"/>
      <c r="F8" s="667"/>
      <c r="G8" s="667"/>
      <c r="H8" s="667"/>
      <c r="I8" s="667"/>
      <c r="J8" s="667"/>
      <c r="K8" s="667"/>
      <c r="L8" s="667"/>
      <c r="M8" s="667"/>
      <c r="N8" s="667"/>
      <c r="O8" s="667"/>
      <c r="P8" s="667"/>
      <c r="Q8" s="667"/>
      <c r="R8" s="667"/>
      <c r="S8" s="667"/>
      <c r="T8" s="667"/>
      <c r="U8" s="667"/>
      <c r="V8" s="667"/>
      <c r="W8" s="667"/>
      <c r="X8" s="667"/>
      <c r="Y8" s="667"/>
      <c r="Z8" s="667"/>
      <c r="AA8" s="667"/>
      <c r="AB8" s="667"/>
      <c r="AC8" s="668"/>
    </row>
    <row r="9" spans="1:30" s="60" customFormat="1" ht="23.25" customHeight="1" thickBot="1">
      <c r="A9" s="104" t="s">
        <v>67</v>
      </c>
      <c r="B9" s="105" t="s">
        <v>68</v>
      </c>
      <c r="C9" s="106" t="s">
        <v>411</v>
      </c>
      <c r="D9" s="658" t="s">
        <v>412</v>
      </c>
      <c r="E9" s="669"/>
      <c r="F9" s="659"/>
      <c r="G9" s="658" t="s">
        <v>413</v>
      </c>
      <c r="H9" s="669"/>
      <c r="I9" s="659"/>
      <c r="J9" s="658" t="s">
        <v>414</v>
      </c>
      <c r="K9" s="659"/>
      <c r="L9" s="658" t="s">
        <v>415</v>
      </c>
      <c r="M9" s="659"/>
      <c r="N9" s="658" t="s">
        <v>416</v>
      </c>
      <c r="O9" s="659"/>
      <c r="P9" s="658" t="s">
        <v>417</v>
      </c>
      <c r="Q9" s="659"/>
      <c r="R9" s="658" t="s">
        <v>418</v>
      </c>
      <c r="S9" s="659"/>
      <c r="T9" s="658" t="s">
        <v>419</v>
      </c>
      <c r="U9" s="659"/>
      <c r="V9" s="658" t="s">
        <v>420</v>
      </c>
      <c r="W9" s="659"/>
      <c r="X9" s="658" t="s">
        <v>421</v>
      </c>
      <c r="Y9" s="659"/>
      <c r="Z9" s="658" t="s">
        <v>422</v>
      </c>
      <c r="AA9" s="659"/>
      <c r="AB9" s="658" t="s">
        <v>423</v>
      </c>
      <c r="AC9" s="662"/>
    </row>
    <row r="10" spans="1:30" ht="15" customHeight="1" thickBot="1">
      <c r="A10" s="615" t="str">
        <f>ORÇAMENTO!A18</f>
        <v>GRUPO 2</v>
      </c>
      <c r="B10" s="622" t="str">
        <f>ORÇAMENTO!B18</f>
        <v>MATERIAIS</v>
      </c>
      <c r="C10" s="143" t="e">
        <f>ORÇAMENTO!F18*B80</f>
        <v>#REF!</v>
      </c>
      <c r="D10" s="611" t="e">
        <f>$C$10*D12</f>
        <v>#REF!</v>
      </c>
      <c r="E10" s="617"/>
      <c r="F10" s="612"/>
      <c r="G10" s="611" t="e">
        <f>$C$10*G12</f>
        <v>#REF!</v>
      </c>
      <c r="H10" s="617"/>
      <c r="I10" s="612"/>
      <c r="J10" s="611" t="e">
        <f>$C$10*J12</f>
        <v>#REF!</v>
      </c>
      <c r="K10" s="612"/>
      <c r="L10" s="611" t="e">
        <f>$C$10*L12</f>
        <v>#REF!</v>
      </c>
      <c r="M10" s="612"/>
      <c r="N10" s="611" t="e">
        <f>$C$10*N12</f>
        <v>#REF!</v>
      </c>
      <c r="O10" s="612"/>
      <c r="P10" s="611" t="e">
        <f>$C$10*P12</f>
        <v>#REF!</v>
      </c>
      <c r="Q10" s="612"/>
      <c r="R10" s="611" t="e">
        <f>$C$10*R12</f>
        <v>#REF!</v>
      </c>
      <c r="S10" s="612"/>
      <c r="T10" s="611" t="e">
        <f>$C$10*T12</f>
        <v>#REF!</v>
      </c>
      <c r="U10" s="612"/>
      <c r="V10" s="611" t="e">
        <f>$C$10*V12</f>
        <v>#REF!</v>
      </c>
      <c r="W10" s="612"/>
      <c r="X10" s="611" t="e">
        <f>$C$10*X12</f>
        <v>#REF!</v>
      </c>
      <c r="Y10" s="612"/>
      <c r="Z10" s="611" t="e">
        <f>$C$10*Z12</f>
        <v>#REF!</v>
      </c>
      <c r="AA10" s="612"/>
      <c r="AB10" s="611" t="e">
        <f>$C$10*AB12</f>
        <v>#REF!</v>
      </c>
      <c r="AC10" s="618"/>
      <c r="AD10" s="145" t="e">
        <f>SUM(D10:AC10)</f>
        <v>#REF!</v>
      </c>
    </row>
    <row r="11" spans="1:30" ht="15" customHeight="1" thickBot="1">
      <c r="A11" s="615"/>
      <c r="B11" s="622"/>
      <c r="C11" s="136"/>
      <c r="D11" s="141"/>
      <c r="E11" s="62"/>
      <c r="F11" s="61"/>
      <c r="G11" s="141"/>
      <c r="H11" s="62"/>
      <c r="I11" s="61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63"/>
      <c r="AD11" s="64"/>
    </row>
    <row r="12" spans="1:30" s="65" customFormat="1" ht="15" customHeight="1" thickBot="1">
      <c r="A12" s="615"/>
      <c r="B12" s="622"/>
      <c r="C12" s="144" t="e">
        <f>C10/$C$76</f>
        <v>#REF!</v>
      </c>
      <c r="D12" s="691">
        <v>0.31096000000000001</v>
      </c>
      <c r="E12" s="692"/>
      <c r="F12" s="693"/>
      <c r="G12" s="691">
        <v>6.2640000000000001E-2</v>
      </c>
      <c r="H12" s="692"/>
      <c r="I12" s="693"/>
      <c r="J12" s="660">
        <v>6.2640000000000001E-2</v>
      </c>
      <c r="K12" s="661"/>
      <c r="L12" s="660">
        <v>6.2640000000000001E-2</v>
      </c>
      <c r="M12" s="661"/>
      <c r="N12" s="660">
        <v>6.2640000000000001E-2</v>
      </c>
      <c r="O12" s="661"/>
      <c r="P12" s="660">
        <v>6.2640000000000001E-2</v>
      </c>
      <c r="Q12" s="661"/>
      <c r="R12" s="660">
        <v>6.2640000000000001E-2</v>
      </c>
      <c r="S12" s="661"/>
      <c r="T12" s="660">
        <v>6.2640000000000001E-2</v>
      </c>
      <c r="U12" s="661"/>
      <c r="V12" s="660">
        <v>6.2640000000000001E-2</v>
      </c>
      <c r="W12" s="661"/>
      <c r="X12" s="660">
        <v>6.2640000000000001E-2</v>
      </c>
      <c r="Y12" s="661"/>
      <c r="Z12" s="660">
        <v>6.2640000000000001E-2</v>
      </c>
      <c r="AA12" s="661"/>
      <c r="AB12" s="660">
        <v>6.2640000000000001E-2</v>
      </c>
      <c r="AC12" s="694"/>
      <c r="AD12" s="64">
        <f>SUM(D12:AC12)</f>
        <v>1.0000000000000002</v>
      </c>
    </row>
    <row r="13" spans="1:30" ht="15" customHeight="1" thickBot="1">
      <c r="A13" s="615" t="e">
        <f>ORÇAMENTO!#REF!</f>
        <v>#REF!</v>
      </c>
      <c r="B13" s="622" t="e">
        <f>ORÇAMENTO!#REF!</f>
        <v>#REF!</v>
      </c>
      <c r="C13" s="143" t="e">
        <f>ORÇAMENTO!#REF!*B80</f>
        <v>#REF!</v>
      </c>
      <c r="D13" s="611" t="e">
        <f>$C13*D15</f>
        <v>#REF!</v>
      </c>
      <c r="E13" s="617"/>
      <c r="F13" s="612"/>
      <c r="G13" s="611" t="e">
        <f>$C13*G15</f>
        <v>#REF!</v>
      </c>
      <c r="H13" s="617"/>
      <c r="I13" s="612"/>
      <c r="J13" s="611" t="e">
        <f>$C13*J15</f>
        <v>#REF!</v>
      </c>
      <c r="K13" s="612"/>
      <c r="L13" s="611" t="e">
        <f>$C13*L15</f>
        <v>#REF!</v>
      </c>
      <c r="M13" s="612"/>
      <c r="N13" s="611" t="e">
        <f>$C13*N15</f>
        <v>#REF!</v>
      </c>
      <c r="O13" s="612"/>
      <c r="P13" s="611" t="e">
        <f>$C13*P15</f>
        <v>#REF!</v>
      </c>
      <c r="Q13" s="612"/>
      <c r="R13" s="611" t="e">
        <f>$C13*R15</f>
        <v>#REF!</v>
      </c>
      <c r="S13" s="612"/>
      <c r="T13" s="611" t="e">
        <f>$C13*T15</f>
        <v>#REF!</v>
      </c>
      <c r="U13" s="612"/>
      <c r="V13" s="611" t="e">
        <f>$C13*V15</f>
        <v>#REF!</v>
      </c>
      <c r="W13" s="612"/>
      <c r="X13" s="611" t="e">
        <f>$C13*X15</f>
        <v>#REF!</v>
      </c>
      <c r="Y13" s="612"/>
      <c r="Z13" s="611" t="e">
        <f>$C13*Z15</f>
        <v>#REF!</v>
      </c>
      <c r="AA13" s="612"/>
      <c r="AB13" s="611" t="e">
        <f>$C13*AB15</f>
        <v>#REF!</v>
      </c>
      <c r="AC13" s="618"/>
      <c r="AD13" s="145" t="e">
        <f>SUM(D13:AC13)</f>
        <v>#REF!</v>
      </c>
    </row>
    <row r="14" spans="1:30" ht="15" customHeight="1" thickBot="1">
      <c r="A14" s="615"/>
      <c r="B14" s="622"/>
      <c r="C14" s="136"/>
      <c r="D14" s="141"/>
      <c r="E14" s="62"/>
      <c r="F14" s="61"/>
      <c r="G14" s="141"/>
      <c r="H14" s="62"/>
      <c r="I14" s="61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63"/>
      <c r="AD14" s="64"/>
    </row>
    <row r="15" spans="1:30" ht="15" customHeight="1" thickBot="1">
      <c r="A15" s="615"/>
      <c r="B15" s="622"/>
      <c r="C15" s="144" t="e">
        <f>C13/$C$76</f>
        <v>#REF!</v>
      </c>
      <c r="D15" s="619">
        <v>8.3400000000000002E-2</v>
      </c>
      <c r="E15" s="620"/>
      <c r="F15" s="621"/>
      <c r="G15" s="619">
        <v>8.3400000000000002E-2</v>
      </c>
      <c r="H15" s="620"/>
      <c r="I15" s="621"/>
      <c r="J15" s="609">
        <v>8.3299999999999999E-2</v>
      </c>
      <c r="K15" s="610"/>
      <c r="L15" s="609">
        <v>8.3299999999999999E-2</v>
      </c>
      <c r="M15" s="610"/>
      <c r="N15" s="609">
        <v>8.3299999999999999E-2</v>
      </c>
      <c r="O15" s="610"/>
      <c r="P15" s="609">
        <v>8.3299999999999999E-2</v>
      </c>
      <c r="Q15" s="610"/>
      <c r="R15" s="609">
        <v>8.3299999999999999E-2</v>
      </c>
      <c r="S15" s="610"/>
      <c r="T15" s="609">
        <v>8.3299999999999999E-2</v>
      </c>
      <c r="U15" s="610"/>
      <c r="V15" s="609">
        <v>8.3299999999999999E-2</v>
      </c>
      <c r="W15" s="610"/>
      <c r="X15" s="609">
        <v>8.3299999999999999E-2</v>
      </c>
      <c r="Y15" s="610"/>
      <c r="Z15" s="609">
        <v>8.3400000000000002E-2</v>
      </c>
      <c r="AA15" s="610"/>
      <c r="AB15" s="609">
        <v>8.3400000000000002E-2</v>
      </c>
      <c r="AC15" s="616"/>
      <c r="AD15" s="64">
        <f>SUM(D15:AC15)</f>
        <v>1</v>
      </c>
    </row>
    <row r="16" spans="1:30" ht="15" customHeight="1" thickBot="1">
      <c r="A16" s="615" t="e">
        <f>ORÇAMENTO!#REF!</f>
        <v>#REF!</v>
      </c>
      <c r="B16" s="622" t="e">
        <f>ORÇAMENTO!#REF!</f>
        <v>#REF!</v>
      </c>
      <c r="C16" s="143" t="e">
        <f>ORÇAMENTO!#REF!*B80</f>
        <v>#REF!</v>
      </c>
      <c r="D16" s="611" t="e">
        <f>$C16*D18</f>
        <v>#REF!</v>
      </c>
      <c r="E16" s="617"/>
      <c r="F16" s="612"/>
      <c r="G16" s="611" t="e">
        <f>$C16*G18</f>
        <v>#REF!</v>
      </c>
      <c r="H16" s="617"/>
      <c r="I16" s="612"/>
      <c r="J16" s="611" t="e">
        <f>$C16*J18</f>
        <v>#REF!</v>
      </c>
      <c r="K16" s="612"/>
      <c r="L16" s="611" t="e">
        <f>$C16*L18</f>
        <v>#REF!</v>
      </c>
      <c r="M16" s="612"/>
      <c r="N16" s="611" t="e">
        <f>$C16*N18</f>
        <v>#REF!</v>
      </c>
      <c r="O16" s="612"/>
      <c r="P16" s="611" t="e">
        <f>$C16*P18</f>
        <v>#REF!</v>
      </c>
      <c r="Q16" s="612"/>
      <c r="R16" s="611" t="e">
        <f>$C16*R18</f>
        <v>#REF!</v>
      </c>
      <c r="S16" s="612"/>
      <c r="T16" s="611" t="e">
        <f>$C16*T18</f>
        <v>#REF!</v>
      </c>
      <c r="U16" s="612"/>
      <c r="V16" s="611" t="e">
        <f>$C16*V18</f>
        <v>#REF!</v>
      </c>
      <c r="W16" s="612"/>
      <c r="X16" s="611" t="e">
        <f>$C16*X18</f>
        <v>#REF!</v>
      </c>
      <c r="Y16" s="612"/>
      <c r="Z16" s="611" t="e">
        <f>$C16*Z18</f>
        <v>#REF!</v>
      </c>
      <c r="AA16" s="612"/>
      <c r="AB16" s="611" t="e">
        <f>$C16*AB18</f>
        <v>#REF!</v>
      </c>
      <c r="AC16" s="618"/>
      <c r="AD16" s="69"/>
    </row>
    <row r="17" spans="1:30" ht="15" customHeight="1" thickBot="1">
      <c r="A17" s="615"/>
      <c r="B17" s="622"/>
      <c r="C17" s="136"/>
      <c r="D17" s="141"/>
      <c r="E17" s="62"/>
      <c r="F17" s="61"/>
      <c r="G17" s="141"/>
      <c r="H17" s="62"/>
      <c r="I17" s="61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63"/>
      <c r="AD17" s="69"/>
    </row>
    <row r="18" spans="1:30" ht="15" customHeight="1" thickBot="1">
      <c r="A18" s="615"/>
      <c r="B18" s="622"/>
      <c r="C18" s="144" t="e">
        <f>C16/$C$76</f>
        <v>#REF!</v>
      </c>
      <c r="D18" s="619">
        <v>8.3400000000000002E-2</v>
      </c>
      <c r="E18" s="620"/>
      <c r="F18" s="621"/>
      <c r="G18" s="619">
        <v>8.3400000000000002E-2</v>
      </c>
      <c r="H18" s="620"/>
      <c r="I18" s="621"/>
      <c r="J18" s="609">
        <v>8.3299999999999999E-2</v>
      </c>
      <c r="K18" s="610"/>
      <c r="L18" s="609">
        <v>8.3299999999999999E-2</v>
      </c>
      <c r="M18" s="610"/>
      <c r="N18" s="609">
        <v>8.3299999999999999E-2</v>
      </c>
      <c r="O18" s="610"/>
      <c r="P18" s="609">
        <v>8.3299999999999999E-2</v>
      </c>
      <c r="Q18" s="610"/>
      <c r="R18" s="609">
        <v>8.3299999999999999E-2</v>
      </c>
      <c r="S18" s="610"/>
      <c r="T18" s="609">
        <v>8.3299999999999999E-2</v>
      </c>
      <c r="U18" s="610"/>
      <c r="V18" s="609">
        <v>8.3299999999999999E-2</v>
      </c>
      <c r="W18" s="610"/>
      <c r="X18" s="609">
        <v>8.3299999999999999E-2</v>
      </c>
      <c r="Y18" s="610"/>
      <c r="Z18" s="609">
        <v>8.3400000000000002E-2</v>
      </c>
      <c r="AA18" s="610"/>
      <c r="AB18" s="609">
        <v>8.3400000000000002E-2</v>
      </c>
      <c r="AC18" s="616"/>
      <c r="AD18" s="64">
        <f>SUM(D18:AC18)</f>
        <v>1</v>
      </c>
    </row>
    <row r="19" spans="1:30" ht="15" customHeight="1" thickBot="1">
      <c r="A19" s="615" t="e">
        <f>ORÇAMENTO!#REF!</f>
        <v>#REF!</v>
      </c>
      <c r="B19" s="622" t="e">
        <f>ORÇAMENTO!#REF!</f>
        <v>#REF!</v>
      </c>
      <c r="C19" s="143" t="e">
        <f>ORÇAMENTO!#REF!*B80</f>
        <v>#REF!</v>
      </c>
      <c r="D19" s="611" t="e">
        <f>$C19*D21</f>
        <v>#REF!</v>
      </c>
      <c r="E19" s="617"/>
      <c r="F19" s="612"/>
      <c r="G19" s="611" t="e">
        <f>$C19*G21</f>
        <v>#REF!</v>
      </c>
      <c r="H19" s="617"/>
      <c r="I19" s="612"/>
      <c r="J19" s="611" t="e">
        <f>$C19*J21</f>
        <v>#REF!</v>
      </c>
      <c r="K19" s="612"/>
      <c r="L19" s="611" t="e">
        <f>$C19*L21</f>
        <v>#REF!</v>
      </c>
      <c r="M19" s="612"/>
      <c r="N19" s="611" t="e">
        <f>$C19*N21</f>
        <v>#REF!</v>
      </c>
      <c r="O19" s="612"/>
      <c r="P19" s="611" t="e">
        <f>$C19*P21</f>
        <v>#REF!</v>
      </c>
      <c r="Q19" s="612"/>
      <c r="R19" s="611" t="e">
        <f>$C19*R21</f>
        <v>#REF!</v>
      </c>
      <c r="S19" s="612"/>
      <c r="T19" s="611" t="e">
        <f>$C19*T21</f>
        <v>#REF!</v>
      </c>
      <c r="U19" s="612"/>
      <c r="V19" s="611" t="e">
        <f>$C19*V21</f>
        <v>#REF!</v>
      </c>
      <c r="W19" s="612"/>
      <c r="X19" s="611" t="e">
        <f>$C19*X21</f>
        <v>#REF!</v>
      </c>
      <c r="Y19" s="612"/>
      <c r="Z19" s="611" t="e">
        <f>$C19*Z21</f>
        <v>#REF!</v>
      </c>
      <c r="AA19" s="612"/>
      <c r="AB19" s="611" t="e">
        <f>$C19*AB21</f>
        <v>#REF!</v>
      </c>
      <c r="AC19" s="618"/>
      <c r="AD19" s="69"/>
    </row>
    <row r="20" spans="1:30" ht="15" customHeight="1" thickBot="1">
      <c r="A20" s="615"/>
      <c r="B20" s="622"/>
      <c r="C20" s="136"/>
      <c r="D20" s="141"/>
      <c r="E20" s="62"/>
      <c r="F20" s="61"/>
      <c r="G20" s="141"/>
      <c r="H20" s="62"/>
      <c r="I20" s="61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63"/>
      <c r="AD20" s="69"/>
    </row>
    <row r="21" spans="1:30" ht="15" customHeight="1" thickBot="1">
      <c r="A21" s="615"/>
      <c r="B21" s="622"/>
      <c r="C21" s="144" t="e">
        <f>C19/$C$76</f>
        <v>#REF!</v>
      </c>
      <c r="D21" s="619">
        <v>8.3400000000000002E-2</v>
      </c>
      <c r="E21" s="620"/>
      <c r="F21" s="621"/>
      <c r="G21" s="619">
        <v>8.3400000000000002E-2</v>
      </c>
      <c r="H21" s="620"/>
      <c r="I21" s="621"/>
      <c r="J21" s="609">
        <v>8.3299999999999999E-2</v>
      </c>
      <c r="K21" s="610"/>
      <c r="L21" s="609">
        <v>8.3299999999999999E-2</v>
      </c>
      <c r="M21" s="610"/>
      <c r="N21" s="609">
        <v>8.3299999999999999E-2</v>
      </c>
      <c r="O21" s="610"/>
      <c r="P21" s="609">
        <v>8.3299999999999999E-2</v>
      </c>
      <c r="Q21" s="610"/>
      <c r="R21" s="609">
        <v>8.3299999999999999E-2</v>
      </c>
      <c r="S21" s="610"/>
      <c r="T21" s="609">
        <v>8.3299999999999999E-2</v>
      </c>
      <c r="U21" s="610"/>
      <c r="V21" s="609">
        <v>8.3299999999999999E-2</v>
      </c>
      <c r="W21" s="610"/>
      <c r="X21" s="609">
        <v>8.3299999999999999E-2</v>
      </c>
      <c r="Y21" s="610"/>
      <c r="Z21" s="609">
        <v>8.3400000000000002E-2</v>
      </c>
      <c r="AA21" s="610"/>
      <c r="AB21" s="609">
        <v>8.3400000000000002E-2</v>
      </c>
      <c r="AC21" s="616"/>
      <c r="AD21" s="64">
        <f>SUM(D21:AC21)</f>
        <v>1</v>
      </c>
    </row>
    <row r="22" spans="1:30" ht="15" customHeight="1" thickBot="1">
      <c r="A22" s="615" t="e">
        <f>ORÇAMENTO!#REF!</f>
        <v>#REF!</v>
      </c>
      <c r="B22" s="622" t="e">
        <f>ORÇAMENTO!#REF!</f>
        <v>#REF!</v>
      </c>
      <c r="C22" s="143" t="e">
        <f>ORÇAMENTO!#REF!*B80</f>
        <v>#REF!</v>
      </c>
      <c r="D22" s="611" t="e">
        <f>$C22*D24</f>
        <v>#REF!</v>
      </c>
      <c r="E22" s="617"/>
      <c r="F22" s="612"/>
      <c r="G22" s="611" t="e">
        <f>$C22*G24</f>
        <v>#REF!</v>
      </c>
      <c r="H22" s="617"/>
      <c r="I22" s="612"/>
      <c r="J22" s="611" t="e">
        <f>$C22*J24</f>
        <v>#REF!</v>
      </c>
      <c r="K22" s="612"/>
      <c r="L22" s="611" t="e">
        <f>$C22*L24</f>
        <v>#REF!</v>
      </c>
      <c r="M22" s="612"/>
      <c r="N22" s="611" t="e">
        <f>$C22*N24</f>
        <v>#REF!</v>
      </c>
      <c r="O22" s="612"/>
      <c r="P22" s="611" t="e">
        <f>$C22*P24</f>
        <v>#REF!</v>
      </c>
      <c r="Q22" s="612"/>
      <c r="R22" s="611" t="e">
        <f>$C22*R24</f>
        <v>#REF!</v>
      </c>
      <c r="S22" s="612"/>
      <c r="T22" s="611" t="e">
        <f>$C22*T24</f>
        <v>#REF!</v>
      </c>
      <c r="U22" s="612"/>
      <c r="V22" s="611" t="e">
        <f>$C22*V24</f>
        <v>#REF!</v>
      </c>
      <c r="W22" s="612"/>
      <c r="X22" s="611" t="e">
        <f>$C22*X24</f>
        <v>#REF!</v>
      </c>
      <c r="Y22" s="612"/>
      <c r="Z22" s="611" t="e">
        <f>$C22*Z24</f>
        <v>#REF!</v>
      </c>
      <c r="AA22" s="612"/>
      <c r="AB22" s="611" t="e">
        <f>$C22*AB24</f>
        <v>#REF!</v>
      </c>
      <c r="AC22" s="618"/>
      <c r="AD22" s="69"/>
    </row>
    <row r="23" spans="1:30" ht="15" customHeight="1" thickBot="1">
      <c r="A23" s="615"/>
      <c r="B23" s="622"/>
      <c r="C23" s="136"/>
      <c r="D23" s="141"/>
      <c r="E23" s="62"/>
      <c r="F23" s="61"/>
      <c r="G23" s="141"/>
      <c r="H23" s="62"/>
      <c r="I23" s="61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63"/>
      <c r="AD23" s="69"/>
    </row>
    <row r="24" spans="1:30" ht="15" customHeight="1" thickBot="1">
      <c r="A24" s="615"/>
      <c r="B24" s="622"/>
      <c r="C24" s="144" t="e">
        <f>C22/$C$76</f>
        <v>#REF!</v>
      </c>
      <c r="D24" s="619">
        <v>8.3400000000000002E-2</v>
      </c>
      <c r="E24" s="620"/>
      <c r="F24" s="621"/>
      <c r="G24" s="619">
        <v>8.3400000000000002E-2</v>
      </c>
      <c r="H24" s="620"/>
      <c r="I24" s="621"/>
      <c r="J24" s="609">
        <v>8.3299999999999999E-2</v>
      </c>
      <c r="K24" s="610"/>
      <c r="L24" s="609">
        <v>8.3299999999999999E-2</v>
      </c>
      <c r="M24" s="610"/>
      <c r="N24" s="609">
        <v>8.3299999999999999E-2</v>
      </c>
      <c r="O24" s="610"/>
      <c r="P24" s="609">
        <v>8.3299999999999999E-2</v>
      </c>
      <c r="Q24" s="610"/>
      <c r="R24" s="609">
        <v>8.3299999999999999E-2</v>
      </c>
      <c r="S24" s="610"/>
      <c r="T24" s="609">
        <v>8.3299999999999999E-2</v>
      </c>
      <c r="U24" s="610"/>
      <c r="V24" s="609">
        <v>8.3299999999999999E-2</v>
      </c>
      <c r="W24" s="610"/>
      <c r="X24" s="609">
        <v>8.3299999999999999E-2</v>
      </c>
      <c r="Y24" s="610"/>
      <c r="Z24" s="609">
        <v>8.3400000000000002E-2</v>
      </c>
      <c r="AA24" s="610"/>
      <c r="AB24" s="609">
        <v>8.3400000000000002E-2</v>
      </c>
      <c r="AC24" s="616"/>
      <c r="AD24" s="64">
        <f>SUM(D24:AC24)</f>
        <v>1</v>
      </c>
    </row>
    <row r="25" spans="1:30" ht="15" customHeight="1" thickBot="1">
      <c r="A25" s="615" t="e">
        <f>ORÇAMENTO!#REF!</f>
        <v>#REF!</v>
      </c>
      <c r="B25" s="622" t="e">
        <f>ORÇAMENTO!#REF!</f>
        <v>#REF!</v>
      </c>
      <c r="C25" s="143" t="e">
        <f>ORÇAMENTO!#REF!*B80</f>
        <v>#REF!</v>
      </c>
      <c r="D25" s="611" t="e">
        <f>$C25*D27</f>
        <v>#REF!</v>
      </c>
      <c r="E25" s="617"/>
      <c r="F25" s="612"/>
      <c r="G25" s="611" t="e">
        <f>$C25*G27</f>
        <v>#REF!</v>
      </c>
      <c r="H25" s="617"/>
      <c r="I25" s="612"/>
      <c r="J25" s="611" t="e">
        <f>$C25*J27</f>
        <v>#REF!</v>
      </c>
      <c r="K25" s="612"/>
      <c r="L25" s="611" t="e">
        <f>$C25*L27</f>
        <v>#REF!</v>
      </c>
      <c r="M25" s="612"/>
      <c r="N25" s="611" t="e">
        <f>$C25*N27</f>
        <v>#REF!</v>
      </c>
      <c r="O25" s="612"/>
      <c r="P25" s="611" t="e">
        <f>$C25*P27</f>
        <v>#REF!</v>
      </c>
      <c r="Q25" s="612"/>
      <c r="R25" s="611" t="e">
        <f>$C25*R27</f>
        <v>#REF!</v>
      </c>
      <c r="S25" s="612"/>
      <c r="T25" s="611" t="e">
        <f>$C25*T27</f>
        <v>#REF!</v>
      </c>
      <c r="U25" s="612"/>
      <c r="V25" s="611" t="e">
        <f>$C25*V27</f>
        <v>#REF!</v>
      </c>
      <c r="W25" s="612"/>
      <c r="X25" s="611" t="e">
        <f>$C25*X27</f>
        <v>#REF!</v>
      </c>
      <c r="Y25" s="612"/>
      <c r="Z25" s="611" t="e">
        <f>$C25*Z27</f>
        <v>#REF!</v>
      </c>
      <c r="AA25" s="612"/>
      <c r="AB25" s="611" t="e">
        <f>$C25*AB27</f>
        <v>#REF!</v>
      </c>
      <c r="AC25" s="618"/>
      <c r="AD25" s="69"/>
    </row>
    <row r="26" spans="1:30" ht="15" customHeight="1" thickBot="1">
      <c r="A26" s="615"/>
      <c r="B26" s="622"/>
      <c r="C26" s="136"/>
      <c r="D26" s="141"/>
      <c r="E26" s="62"/>
      <c r="F26" s="61"/>
      <c r="G26" s="141"/>
      <c r="H26" s="62"/>
      <c r="I26" s="61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63"/>
      <c r="AD26" s="69"/>
    </row>
    <row r="27" spans="1:30" ht="15" customHeight="1" thickBot="1">
      <c r="A27" s="615"/>
      <c r="B27" s="622"/>
      <c r="C27" s="144" t="e">
        <f>C25/$C$76</f>
        <v>#REF!</v>
      </c>
      <c r="D27" s="619">
        <v>8.3400000000000002E-2</v>
      </c>
      <c r="E27" s="620"/>
      <c r="F27" s="621"/>
      <c r="G27" s="619">
        <v>8.3400000000000002E-2</v>
      </c>
      <c r="H27" s="620"/>
      <c r="I27" s="621"/>
      <c r="J27" s="609">
        <v>8.3299999999999999E-2</v>
      </c>
      <c r="K27" s="610"/>
      <c r="L27" s="609">
        <v>8.3299999999999999E-2</v>
      </c>
      <c r="M27" s="610"/>
      <c r="N27" s="609">
        <v>8.3299999999999999E-2</v>
      </c>
      <c r="O27" s="610"/>
      <c r="P27" s="609">
        <v>8.3299999999999999E-2</v>
      </c>
      <c r="Q27" s="610"/>
      <c r="R27" s="609">
        <v>8.3299999999999999E-2</v>
      </c>
      <c r="S27" s="610"/>
      <c r="T27" s="609">
        <v>8.3299999999999999E-2</v>
      </c>
      <c r="U27" s="610"/>
      <c r="V27" s="609">
        <v>8.3299999999999999E-2</v>
      </c>
      <c r="W27" s="610"/>
      <c r="X27" s="609">
        <v>8.3299999999999999E-2</v>
      </c>
      <c r="Y27" s="610"/>
      <c r="Z27" s="609">
        <v>8.3400000000000002E-2</v>
      </c>
      <c r="AA27" s="610"/>
      <c r="AB27" s="609">
        <v>8.3400000000000002E-2</v>
      </c>
      <c r="AC27" s="616"/>
      <c r="AD27" s="64">
        <f>SUM(D27:AC27)</f>
        <v>1</v>
      </c>
    </row>
    <row r="28" spans="1:30" ht="15" customHeight="1" thickBot="1">
      <c r="A28" s="615" t="e">
        <f>ORÇAMENTO!#REF!</f>
        <v>#REF!</v>
      </c>
      <c r="B28" s="622" t="e">
        <f>ORÇAMENTO!#REF!</f>
        <v>#REF!</v>
      </c>
      <c r="C28" s="143" t="e">
        <f>ORÇAMENTO!#REF!*B80</f>
        <v>#REF!</v>
      </c>
      <c r="D28" s="611" t="e">
        <f>$C28*D30</f>
        <v>#REF!</v>
      </c>
      <c r="E28" s="617"/>
      <c r="F28" s="612"/>
      <c r="G28" s="611"/>
      <c r="H28" s="617"/>
      <c r="I28" s="612"/>
      <c r="J28" s="611"/>
      <c r="K28" s="612"/>
      <c r="L28" s="611"/>
      <c r="M28" s="612"/>
      <c r="N28" s="611"/>
      <c r="O28" s="612"/>
      <c r="P28" s="611"/>
      <c r="Q28" s="612"/>
      <c r="R28" s="611"/>
      <c r="S28" s="612"/>
      <c r="T28" s="611"/>
      <c r="U28" s="612"/>
      <c r="V28" s="611"/>
      <c r="W28" s="612"/>
      <c r="X28" s="611"/>
      <c r="Y28" s="612"/>
      <c r="Z28" s="611"/>
      <c r="AA28" s="612"/>
      <c r="AB28" s="611"/>
      <c r="AC28" s="618"/>
      <c r="AD28" s="69"/>
    </row>
    <row r="29" spans="1:30" ht="15" customHeight="1" thickBot="1">
      <c r="A29" s="615"/>
      <c r="B29" s="622"/>
      <c r="C29" s="136"/>
      <c r="D29" s="141"/>
      <c r="E29" s="62"/>
      <c r="F29" s="61"/>
      <c r="G29" s="142"/>
      <c r="H29" s="66"/>
      <c r="I29" s="68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67"/>
      <c r="AD29" s="69"/>
    </row>
    <row r="30" spans="1:30" ht="15" customHeight="1" thickBot="1">
      <c r="A30" s="615"/>
      <c r="B30" s="622"/>
      <c r="C30" s="144" t="e">
        <f>C28/$C$76</f>
        <v>#REF!</v>
      </c>
      <c r="D30" s="619">
        <v>1</v>
      </c>
      <c r="E30" s="620"/>
      <c r="F30" s="621"/>
      <c r="G30" s="619"/>
      <c r="H30" s="620"/>
      <c r="I30" s="621"/>
      <c r="J30" s="609"/>
      <c r="K30" s="610"/>
      <c r="L30" s="609"/>
      <c r="M30" s="610"/>
      <c r="N30" s="609"/>
      <c r="O30" s="610"/>
      <c r="P30" s="609"/>
      <c r="Q30" s="610"/>
      <c r="R30" s="609"/>
      <c r="S30" s="610"/>
      <c r="T30" s="609"/>
      <c r="U30" s="610"/>
      <c r="V30" s="609"/>
      <c r="W30" s="610"/>
      <c r="X30" s="609"/>
      <c r="Y30" s="610"/>
      <c r="Z30" s="609"/>
      <c r="AA30" s="610"/>
      <c r="AB30" s="609"/>
      <c r="AC30" s="616"/>
      <c r="AD30" s="69"/>
    </row>
    <row r="31" spans="1:30" ht="15" customHeight="1" thickBot="1">
      <c r="A31" s="615" t="e">
        <f>ORÇAMENTO!#REF!</f>
        <v>#REF!</v>
      </c>
      <c r="B31" s="622" t="e">
        <f>ORÇAMENTO!#REF!</f>
        <v>#REF!</v>
      </c>
      <c r="C31" s="143" t="e">
        <f>ORÇAMENTO!#REF!*B80</f>
        <v>#REF!</v>
      </c>
      <c r="D31" s="611"/>
      <c r="E31" s="617"/>
      <c r="F31" s="612"/>
      <c r="G31" s="611"/>
      <c r="H31" s="617"/>
      <c r="I31" s="612"/>
      <c r="J31" s="611"/>
      <c r="K31" s="612"/>
      <c r="L31" s="611"/>
      <c r="M31" s="612"/>
      <c r="N31" s="611"/>
      <c r="O31" s="612"/>
      <c r="P31" s="611"/>
      <c r="Q31" s="612"/>
      <c r="R31" s="611"/>
      <c r="S31" s="612"/>
      <c r="T31" s="611"/>
      <c r="U31" s="612"/>
      <c r="V31" s="611"/>
      <c r="W31" s="612"/>
      <c r="X31" s="611"/>
      <c r="Y31" s="612"/>
      <c r="Z31" s="611"/>
      <c r="AA31" s="612"/>
      <c r="AB31" s="611" t="e">
        <f>$C31*AB33</f>
        <v>#REF!</v>
      </c>
      <c r="AC31" s="618"/>
      <c r="AD31" s="69"/>
    </row>
    <row r="32" spans="1:30" ht="15" customHeight="1" thickBot="1">
      <c r="A32" s="615"/>
      <c r="B32" s="622"/>
      <c r="C32" s="136"/>
      <c r="D32" s="142"/>
      <c r="E32" s="66"/>
      <c r="F32" s="68"/>
      <c r="G32" s="142"/>
      <c r="H32" s="66"/>
      <c r="I32" s="68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63"/>
      <c r="AD32" s="69"/>
    </row>
    <row r="33" spans="1:30" ht="15" customHeight="1" thickBot="1">
      <c r="A33" s="615"/>
      <c r="B33" s="622"/>
      <c r="C33" s="144" t="e">
        <f>C31/$C$76</f>
        <v>#REF!</v>
      </c>
      <c r="D33" s="619"/>
      <c r="E33" s="620"/>
      <c r="F33" s="621"/>
      <c r="G33" s="619"/>
      <c r="H33" s="620"/>
      <c r="I33" s="621"/>
      <c r="J33" s="609"/>
      <c r="K33" s="610"/>
      <c r="L33" s="609"/>
      <c r="M33" s="610"/>
      <c r="N33" s="609"/>
      <c r="O33" s="610"/>
      <c r="P33" s="609"/>
      <c r="Q33" s="610"/>
      <c r="R33" s="609"/>
      <c r="S33" s="610"/>
      <c r="T33" s="609"/>
      <c r="U33" s="610"/>
      <c r="V33" s="609"/>
      <c r="W33" s="610"/>
      <c r="X33" s="609"/>
      <c r="Y33" s="610"/>
      <c r="Z33" s="609"/>
      <c r="AA33" s="610"/>
      <c r="AB33" s="609">
        <v>1</v>
      </c>
      <c r="AC33" s="616"/>
      <c r="AD33" s="69"/>
    </row>
    <row r="34" spans="1:30" ht="21" customHeight="1">
      <c r="A34" s="70"/>
      <c r="B34" s="71"/>
      <c r="C34" s="72"/>
      <c r="D34" s="72"/>
      <c r="E34" s="72"/>
      <c r="F34" s="72"/>
      <c r="G34" s="73"/>
      <c r="H34" s="73"/>
      <c r="I34" s="73"/>
      <c r="J34" s="73"/>
      <c r="K34" s="73"/>
      <c r="L34" s="73"/>
      <c r="M34" s="73"/>
      <c r="N34" s="74"/>
      <c r="O34" s="74"/>
      <c r="P34" s="74"/>
      <c r="Q34" s="74"/>
      <c r="R34" s="74"/>
      <c r="S34" s="74"/>
      <c r="T34" s="75"/>
      <c r="U34" s="75"/>
      <c r="V34" s="75"/>
      <c r="W34" s="75"/>
      <c r="X34" s="76"/>
      <c r="Y34" s="76"/>
      <c r="Z34" s="76"/>
      <c r="AA34" s="76"/>
      <c r="AB34" s="76"/>
      <c r="AC34" s="77"/>
      <c r="AD34" s="69"/>
    </row>
    <row r="35" spans="1:30" ht="21" customHeight="1">
      <c r="A35" s="78"/>
      <c r="B35" s="79"/>
      <c r="C35" s="80"/>
      <c r="D35" s="80"/>
      <c r="E35" s="80"/>
      <c r="F35" s="80"/>
      <c r="G35" s="81"/>
      <c r="H35" s="81"/>
      <c r="I35" s="81"/>
      <c r="J35" s="81"/>
      <c r="K35" s="81"/>
      <c r="L35" s="81"/>
      <c r="M35" s="81"/>
      <c r="N35" s="82"/>
      <c r="O35" s="82"/>
      <c r="P35" s="82"/>
      <c r="Q35" s="82"/>
      <c r="R35" s="82"/>
      <c r="S35" s="82"/>
      <c r="T35" s="83"/>
      <c r="U35" s="83"/>
      <c r="V35" s="83"/>
      <c r="W35" s="83"/>
      <c r="X35" s="84"/>
      <c r="Y35" s="84"/>
      <c r="Z35" s="84"/>
      <c r="AA35" s="84"/>
      <c r="AB35" s="84"/>
      <c r="AC35" s="85"/>
      <c r="AD35" s="69"/>
    </row>
    <row r="36" spans="1:30" ht="21" customHeight="1">
      <c r="A36" s="78"/>
      <c r="B36" s="79"/>
      <c r="C36" s="80"/>
      <c r="D36" s="80"/>
      <c r="E36" s="80"/>
      <c r="F36" s="80"/>
      <c r="G36" s="81"/>
      <c r="H36" s="81"/>
      <c r="I36" s="81"/>
      <c r="J36" s="81"/>
      <c r="K36" s="81"/>
      <c r="L36" s="81"/>
      <c r="M36" s="81"/>
      <c r="N36" s="82"/>
      <c r="O36" s="82"/>
      <c r="P36" s="82"/>
      <c r="Q36" s="82"/>
      <c r="R36" s="82"/>
      <c r="S36" s="82"/>
      <c r="T36" s="83"/>
      <c r="U36" s="83"/>
      <c r="V36" s="83"/>
      <c r="W36" s="83"/>
      <c r="X36" s="84"/>
      <c r="Y36" s="84"/>
      <c r="Z36" s="84"/>
      <c r="AA36" s="84"/>
      <c r="AB36" s="84"/>
      <c r="AC36" s="85"/>
      <c r="AD36" s="69"/>
    </row>
    <row r="37" spans="1:30" ht="21" customHeight="1">
      <c r="A37" s="78"/>
      <c r="B37" s="79"/>
      <c r="C37" s="80"/>
      <c r="D37" s="80"/>
      <c r="E37" s="80"/>
      <c r="F37" s="80"/>
      <c r="G37" s="81"/>
      <c r="H37" s="81"/>
      <c r="I37" s="81"/>
      <c r="J37" s="81"/>
      <c r="K37" s="81"/>
      <c r="L37" s="81"/>
      <c r="M37" s="81"/>
      <c r="N37" s="82"/>
      <c r="O37" s="82"/>
      <c r="P37" s="82"/>
      <c r="Q37" s="82"/>
      <c r="R37" s="82"/>
      <c r="S37" s="82"/>
      <c r="T37" s="83"/>
      <c r="U37" s="83"/>
      <c r="V37" s="83"/>
      <c r="W37" s="83"/>
      <c r="X37" s="84"/>
      <c r="Y37" s="84"/>
      <c r="Z37" s="84"/>
      <c r="AA37" s="84"/>
      <c r="AB37" s="84"/>
      <c r="AC37" s="85"/>
      <c r="AD37" s="69"/>
    </row>
    <row r="38" spans="1:30" ht="21" customHeight="1">
      <c r="A38" s="78"/>
      <c r="B38" s="79"/>
      <c r="C38" s="80"/>
      <c r="D38" s="80"/>
      <c r="E38" s="80"/>
      <c r="F38" s="80"/>
      <c r="G38" s="81"/>
      <c r="H38" s="81"/>
      <c r="I38" s="81"/>
      <c r="J38" s="81"/>
      <c r="K38" s="81"/>
      <c r="L38" s="81"/>
      <c r="M38" s="81"/>
      <c r="N38" s="82"/>
      <c r="O38" s="82"/>
      <c r="P38" s="82"/>
      <c r="Q38" s="82"/>
      <c r="R38" s="82"/>
      <c r="S38" s="82"/>
      <c r="T38" s="83"/>
      <c r="U38" s="83"/>
      <c r="V38" s="83"/>
      <c r="W38" s="83"/>
      <c r="X38" s="84"/>
      <c r="Y38" s="84"/>
      <c r="Z38" s="84"/>
      <c r="AA38" s="84"/>
      <c r="AB38" s="84"/>
      <c r="AC38" s="85"/>
      <c r="AD38" s="69"/>
    </row>
    <row r="39" spans="1:30" ht="21" customHeight="1">
      <c r="A39" s="78"/>
      <c r="B39" s="79"/>
      <c r="C39" s="80"/>
      <c r="D39" s="80"/>
      <c r="E39" s="80"/>
      <c r="F39" s="80"/>
      <c r="G39" s="81"/>
      <c r="H39" s="81"/>
      <c r="I39" s="81"/>
      <c r="J39" s="81"/>
      <c r="K39" s="81"/>
      <c r="L39" s="81"/>
      <c r="M39" s="81"/>
      <c r="N39" s="82"/>
      <c r="O39" s="82"/>
      <c r="P39" s="82"/>
      <c r="Q39" s="82"/>
      <c r="R39" s="82"/>
      <c r="S39" s="82"/>
      <c r="T39" s="83"/>
      <c r="U39" s="83"/>
      <c r="V39" s="83"/>
      <c r="W39" s="83"/>
      <c r="X39" s="84"/>
      <c r="Y39" s="84"/>
      <c r="Z39" s="84"/>
      <c r="AA39" s="84"/>
      <c r="AB39" s="84"/>
      <c r="AC39" s="85"/>
      <c r="AD39" s="69"/>
    </row>
    <row r="40" spans="1:30" ht="21" customHeight="1">
      <c r="A40" s="78"/>
      <c r="B40" s="79"/>
      <c r="C40" s="80"/>
      <c r="D40" s="80"/>
      <c r="E40" s="80"/>
      <c r="F40" s="80"/>
      <c r="G40" s="81"/>
      <c r="H40" s="81"/>
      <c r="I40" s="81"/>
      <c r="J40" s="81"/>
      <c r="K40" s="81"/>
      <c r="L40" s="81"/>
      <c r="M40" s="81"/>
      <c r="N40" s="82"/>
      <c r="O40" s="82"/>
      <c r="P40" s="82"/>
      <c r="Q40" s="82"/>
      <c r="R40" s="82"/>
      <c r="S40" s="82"/>
      <c r="T40" s="83"/>
      <c r="U40" s="83"/>
      <c r="V40" s="83"/>
      <c r="W40" s="83"/>
      <c r="X40" s="84"/>
      <c r="Y40" s="84"/>
      <c r="Z40" s="84"/>
      <c r="AA40" s="84"/>
      <c r="AB40" s="84"/>
      <c r="AC40" s="85"/>
      <c r="AD40" s="69"/>
    </row>
    <row r="41" spans="1:30" ht="21" customHeight="1">
      <c r="A41" s="78"/>
      <c r="B41" s="79"/>
      <c r="C41" s="80"/>
      <c r="D41" s="80"/>
      <c r="E41" s="80"/>
      <c r="F41" s="80"/>
      <c r="G41" s="81"/>
      <c r="H41" s="81"/>
      <c r="I41" s="81"/>
      <c r="J41" s="81"/>
      <c r="K41" s="81"/>
      <c r="L41" s="81"/>
      <c r="M41" s="81"/>
      <c r="N41" s="82"/>
      <c r="O41" s="82"/>
      <c r="P41" s="82"/>
      <c r="Q41" s="82"/>
      <c r="R41" s="82"/>
      <c r="S41" s="82"/>
      <c r="T41" s="83"/>
      <c r="U41" s="83"/>
      <c r="V41" s="83"/>
      <c r="W41" s="83"/>
      <c r="X41" s="84"/>
      <c r="Y41" s="84"/>
      <c r="Z41" s="84"/>
      <c r="AA41" s="84"/>
      <c r="AB41" s="84"/>
      <c r="AC41" s="85"/>
      <c r="AD41" s="69"/>
    </row>
    <row r="42" spans="1:30" ht="21" customHeight="1">
      <c r="A42" s="78"/>
      <c r="B42" s="79"/>
      <c r="C42" s="80"/>
      <c r="D42" s="80"/>
      <c r="E42" s="80"/>
      <c r="F42" s="80"/>
      <c r="G42" s="81"/>
      <c r="H42" s="81"/>
      <c r="I42" s="81"/>
      <c r="J42" s="81"/>
      <c r="K42" s="81"/>
      <c r="L42" s="81"/>
      <c r="M42" s="81"/>
      <c r="N42" s="82"/>
      <c r="O42" s="82"/>
      <c r="P42" s="82"/>
      <c r="Q42" s="82"/>
      <c r="R42" s="82"/>
      <c r="S42" s="82"/>
      <c r="T42" s="83"/>
      <c r="U42" s="83"/>
      <c r="V42" s="83"/>
      <c r="W42" s="83"/>
      <c r="X42" s="84"/>
      <c r="Y42" s="84"/>
      <c r="Z42" s="84"/>
      <c r="AA42" s="84"/>
      <c r="AB42" s="84"/>
      <c r="AC42" s="85"/>
      <c r="AD42" s="69"/>
    </row>
    <row r="43" spans="1:30" ht="21" customHeight="1">
      <c r="A43" s="78"/>
      <c r="B43" s="79"/>
      <c r="C43" s="80"/>
      <c r="D43" s="80"/>
      <c r="E43" s="80"/>
      <c r="F43" s="80"/>
      <c r="G43" s="81"/>
      <c r="H43" s="81"/>
      <c r="I43" s="81"/>
      <c r="J43" s="81"/>
      <c r="K43" s="81"/>
      <c r="L43" s="81"/>
      <c r="M43" s="81"/>
      <c r="N43" s="82"/>
      <c r="O43" s="82"/>
      <c r="P43" s="82"/>
      <c r="Q43" s="82"/>
      <c r="R43" s="82"/>
      <c r="S43" s="82"/>
      <c r="T43" s="83"/>
      <c r="U43" s="83"/>
      <c r="V43" s="83"/>
      <c r="W43" s="83"/>
      <c r="X43" s="84"/>
      <c r="Y43" s="84"/>
      <c r="Z43" s="84"/>
      <c r="AA43" s="84"/>
      <c r="AB43" s="84"/>
      <c r="AC43" s="85"/>
      <c r="AD43" s="69"/>
    </row>
    <row r="44" spans="1:30" ht="21" customHeight="1">
      <c r="A44" s="78"/>
      <c r="B44" s="79"/>
      <c r="C44" s="80"/>
      <c r="D44" s="80"/>
      <c r="E44" s="80"/>
      <c r="F44" s="80"/>
      <c r="G44" s="81"/>
      <c r="H44" s="81"/>
      <c r="I44" s="81"/>
      <c r="J44" s="81"/>
      <c r="K44" s="81"/>
      <c r="L44" s="81"/>
      <c r="M44" s="81"/>
      <c r="N44" s="82"/>
      <c r="O44" s="82"/>
      <c r="P44" s="82"/>
      <c r="Q44" s="82"/>
      <c r="R44" s="82"/>
      <c r="S44" s="82"/>
      <c r="T44" s="83"/>
      <c r="U44" s="83"/>
      <c r="V44" s="83"/>
      <c r="W44" s="83"/>
      <c r="X44" s="84"/>
      <c r="Y44" s="84"/>
      <c r="Z44" s="84"/>
      <c r="AA44" s="84"/>
      <c r="AB44" s="84"/>
      <c r="AC44" s="85"/>
      <c r="AD44" s="69"/>
    </row>
    <row r="45" spans="1:30" ht="21" customHeight="1">
      <c r="A45" s="78"/>
      <c r="B45" s="79"/>
      <c r="C45" s="80"/>
      <c r="D45" s="80"/>
      <c r="E45" s="80"/>
      <c r="F45" s="80"/>
      <c r="G45" s="81"/>
      <c r="H45" s="81"/>
      <c r="I45" s="81"/>
      <c r="J45" s="81"/>
      <c r="K45" s="81"/>
      <c r="L45" s="81"/>
      <c r="M45" s="81"/>
      <c r="N45" s="82"/>
      <c r="O45" s="82"/>
      <c r="P45" s="82"/>
      <c r="Q45" s="82"/>
      <c r="R45" s="82"/>
      <c r="S45" s="82"/>
      <c r="T45" s="83"/>
      <c r="U45" s="83"/>
      <c r="V45" s="83"/>
      <c r="W45" s="83"/>
      <c r="X45" s="84"/>
      <c r="Y45" s="84"/>
      <c r="Z45" s="84"/>
      <c r="AA45" s="84"/>
      <c r="AB45" s="84"/>
      <c r="AC45" s="85"/>
      <c r="AD45" s="69"/>
    </row>
    <row r="46" spans="1:30" ht="21" customHeight="1">
      <c r="A46" s="78"/>
      <c r="B46" s="79"/>
      <c r="C46" s="80"/>
      <c r="D46" s="80"/>
      <c r="E46" s="80"/>
      <c r="F46" s="80"/>
      <c r="G46" s="81"/>
      <c r="H46" s="81"/>
      <c r="I46" s="81"/>
      <c r="J46" s="81"/>
      <c r="K46" s="81"/>
      <c r="L46" s="81"/>
      <c r="M46" s="81"/>
      <c r="N46" s="82"/>
      <c r="O46" s="82"/>
      <c r="P46" s="82"/>
      <c r="Q46" s="82"/>
      <c r="R46" s="82"/>
      <c r="S46" s="82"/>
      <c r="T46" s="83"/>
      <c r="U46" s="83"/>
      <c r="V46" s="83"/>
      <c r="W46" s="83"/>
      <c r="X46" s="84"/>
      <c r="Y46" s="84"/>
      <c r="Z46" s="84"/>
      <c r="AA46" s="84"/>
      <c r="AB46" s="84"/>
      <c r="AC46" s="85"/>
      <c r="AD46" s="69"/>
    </row>
    <row r="47" spans="1:30" ht="21" customHeight="1">
      <c r="A47" s="78"/>
      <c r="B47" s="79"/>
      <c r="C47" s="80"/>
      <c r="D47" s="80"/>
      <c r="E47" s="80"/>
      <c r="F47" s="80"/>
      <c r="G47" s="81"/>
      <c r="H47" s="81"/>
      <c r="I47" s="81"/>
      <c r="J47" s="81"/>
      <c r="K47" s="81"/>
      <c r="L47" s="81"/>
      <c r="M47" s="81"/>
      <c r="N47" s="82"/>
      <c r="O47" s="82"/>
      <c r="P47" s="82"/>
      <c r="Q47" s="82"/>
      <c r="R47" s="82"/>
      <c r="S47" s="82"/>
      <c r="T47" s="83"/>
      <c r="U47" s="83"/>
      <c r="V47" s="83"/>
      <c r="W47" s="83"/>
      <c r="X47" s="84"/>
      <c r="Y47" s="84"/>
      <c r="Z47" s="84"/>
      <c r="AA47" s="84"/>
      <c r="AB47" s="84"/>
      <c r="AC47" s="85"/>
      <c r="AD47" s="69"/>
    </row>
    <row r="48" spans="1:30" ht="21" customHeight="1">
      <c r="A48" s="78"/>
      <c r="B48" s="79"/>
      <c r="C48" s="80"/>
      <c r="D48" s="80"/>
      <c r="E48" s="80"/>
      <c r="F48" s="80"/>
      <c r="G48" s="81"/>
      <c r="H48" s="81"/>
      <c r="I48" s="81"/>
      <c r="J48" s="81"/>
      <c r="K48" s="81"/>
      <c r="L48" s="81"/>
      <c r="M48" s="81"/>
      <c r="N48" s="82"/>
      <c r="O48" s="82"/>
      <c r="P48" s="82"/>
      <c r="Q48" s="82"/>
      <c r="R48" s="82"/>
      <c r="S48" s="82"/>
      <c r="T48" s="83"/>
      <c r="U48" s="83"/>
      <c r="V48" s="83"/>
      <c r="W48" s="83"/>
      <c r="X48" s="84"/>
      <c r="Y48" s="84"/>
      <c r="Z48" s="84"/>
      <c r="AA48" s="84"/>
      <c r="AB48" s="84"/>
      <c r="AC48" s="85"/>
      <c r="AD48" s="69"/>
    </row>
    <row r="49" spans="1:30" ht="21" customHeight="1">
      <c r="A49" s="78"/>
      <c r="B49" s="79"/>
      <c r="C49" s="80"/>
      <c r="D49" s="80"/>
      <c r="E49" s="80"/>
      <c r="F49" s="80"/>
      <c r="G49" s="81"/>
      <c r="H49" s="81"/>
      <c r="I49" s="81"/>
      <c r="J49" s="81"/>
      <c r="K49" s="81"/>
      <c r="L49" s="81"/>
      <c r="M49" s="81"/>
      <c r="N49" s="82"/>
      <c r="O49" s="82"/>
      <c r="P49" s="82"/>
      <c r="Q49" s="82"/>
      <c r="R49" s="82"/>
      <c r="S49" s="82"/>
      <c r="T49" s="83"/>
      <c r="U49" s="83"/>
      <c r="V49" s="83"/>
      <c r="W49" s="83"/>
      <c r="X49" s="84"/>
      <c r="Y49" s="84"/>
      <c r="Z49" s="84"/>
      <c r="AA49" s="84"/>
      <c r="AB49" s="84"/>
      <c r="AC49" s="85"/>
      <c r="AD49" s="69"/>
    </row>
    <row r="50" spans="1:30" ht="21" customHeight="1">
      <c r="A50" s="78"/>
      <c r="B50" s="79"/>
      <c r="C50" s="80"/>
      <c r="D50" s="80"/>
      <c r="E50" s="80"/>
      <c r="F50" s="80"/>
      <c r="G50" s="81"/>
      <c r="H50" s="81"/>
      <c r="I50" s="81"/>
      <c r="J50" s="81"/>
      <c r="K50" s="81"/>
      <c r="L50" s="81"/>
      <c r="M50" s="81"/>
      <c r="N50" s="82"/>
      <c r="O50" s="82"/>
      <c r="P50" s="82"/>
      <c r="Q50" s="82"/>
      <c r="R50" s="82"/>
      <c r="S50" s="82"/>
      <c r="T50" s="83"/>
      <c r="U50" s="83"/>
      <c r="V50" s="83"/>
      <c r="W50" s="83"/>
      <c r="X50" s="84"/>
      <c r="Y50" s="84"/>
      <c r="Z50" s="84"/>
      <c r="AA50" s="84"/>
      <c r="AB50" s="84"/>
      <c r="AC50" s="85"/>
      <c r="AD50" s="69"/>
    </row>
    <row r="51" spans="1:30" ht="21" customHeight="1">
      <c r="A51" s="78"/>
      <c r="B51" s="79"/>
      <c r="C51" s="80"/>
      <c r="D51" s="80"/>
      <c r="E51" s="80"/>
      <c r="F51" s="80"/>
      <c r="G51" s="81"/>
      <c r="H51" s="81"/>
      <c r="I51" s="81"/>
      <c r="J51" s="81"/>
      <c r="K51" s="81"/>
      <c r="L51" s="81"/>
      <c r="M51" s="81"/>
      <c r="N51" s="82"/>
      <c r="O51" s="82"/>
      <c r="P51" s="82"/>
      <c r="Q51" s="82"/>
      <c r="R51" s="82"/>
      <c r="S51" s="82"/>
      <c r="T51" s="83"/>
      <c r="U51" s="83"/>
      <c r="V51" s="83"/>
      <c r="W51" s="83"/>
      <c r="X51" s="84"/>
      <c r="Y51" s="84"/>
      <c r="Z51" s="84"/>
      <c r="AA51" s="84"/>
      <c r="AB51" s="84"/>
      <c r="AC51" s="85"/>
      <c r="AD51" s="69"/>
    </row>
    <row r="52" spans="1:30" ht="21" customHeight="1">
      <c r="A52" s="78"/>
      <c r="B52" s="79"/>
      <c r="C52" s="80"/>
      <c r="D52" s="80"/>
      <c r="E52" s="80"/>
      <c r="F52" s="80"/>
      <c r="G52" s="81"/>
      <c r="H52" s="81"/>
      <c r="I52" s="81"/>
      <c r="J52" s="81"/>
      <c r="K52" s="81"/>
      <c r="L52" s="81"/>
      <c r="M52" s="81"/>
      <c r="N52" s="82"/>
      <c r="O52" s="82"/>
      <c r="P52" s="82"/>
      <c r="Q52" s="82"/>
      <c r="R52" s="82"/>
      <c r="S52" s="82"/>
      <c r="T52" s="83"/>
      <c r="U52" s="83"/>
      <c r="V52" s="83"/>
      <c r="W52" s="83"/>
      <c r="X52" s="84"/>
      <c r="Y52" s="84"/>
      <c r="Z52" s="84"/>
      <c r="AA52" s="84"/>
      <c r="AB52" s="84"/>
      <c r="AC52" s="85"/>
      <c r="AD52" s="69"/>
    </row>
    <row r="53" spans="1:30" ht="21" customHeight="1">
      <c r="A53" s="78"/>
      <c r="B53" s="79"/>
      <c r="C53" s="80"/>
      <c r="D53" s="80"/>
      <c r="E53" s="80"/>
      <c r="F53" s="80"/>
      <c r="G53" s="81"/>
      <c r="H53" s="81"/>
      <c r="I53" s="81"/>
      <c r="J53" s="81"/>
      <c r="K53" s="81"/>
      <c r="L53" s="81"/>
      <c r="M53" s="81"/>
      <c r="N53" s="82"/>
      <c r="O53" s="82"/>
      <c r="P53" s="82"/>
      <c r="Q53" s="82"/>
      <c r="R53" s="82"/>
      <c r="S53" s="82"/>
      <c r="T53" s="83"/>
      <c r="U53" s="83"/>
      <c r="V53" s="83"/>
      <c r="W53" s="83"/>
      <c r="X53" s="84"/>
      <c r="Y53" s="84"/>
      <c r="Z53" s="84"/>
      <c r="AA53" s="84"/>
      <c r="AB53" s="84"/>
      <c r="AC53" s="85"/>
      <c r="AD53" s="69"/>
    </row>
    <row r="54" spans="1:30" ht="21" customHeight="1">
      <c r="A54" s="78"/>
      <c r="B54" s="79"/>
      <c r="C54" s="80"/>
      <c r="D54" s="80"/>
      <c r="E54" s="80"/>
      <c r="F54" s="80"/>
      <c r="G54" s="81"/>
      <c r="H54" s="81"/>
      <c r="I54" s="81"/>
      <c r="J54" s="81"/>
      <c r="K54" s="81"/>
      <c r="L54" s="81"/>
      <c r="M54" s="81"/>
      <c r="N54" s="82"/>
      <c r="O54" s="82"/>
      <c r="P54" s="82"/>
      <c r="Q54" s="82"/>
      <c r="R54" s="82"/>
      <c r="S54" s="82"/>
      <c r="T54" s="83"/>
      <c r="U54" s="83"/>
      <c r="V54" s="83"/>
      <c r="W54" s="83"/>
      <c r="X54" s="84"/>
      <c r="Y54" s="84"/>
      <c r="Z54" s="84"/>
      <c r="AA54" s="84"/>
      <c r="AB54" s="84"/>
      <c r="AC54" s="85"/>
      <c r="AD54" s="69"/>
    </row>
    <row r="55" spans="1:30" ht="21" customHeight="1">
      <c r="A55" s="78"/>
      <c r="B55" s="79"/>
      <c r="C55" s="80"/>
      <c r="D55" s="80"/>
      <c r="E55" s="80"/>
      <c r="F55" s="80"/>
      <c r="G55" s="81"/>
      <c r="H55" s="81"/>
      <c r="I55" s="81"/>
      <c r="J55" s="81"/>
      <c r="K55" s="81"/>
      <c r="L55" s="81"/>
      <c r="M55" s="81"/>
      <c r="N55" s="82"/>
      <c r="O55" s="82"/>
      <c r="P55" s="82"/>
      <c r="Q55" s="82"/>
      <c r="R55" s="82"/>
      <c r="S55" s="82"/>
      <c r="T55" s="83"/>
      <c r="U55" s="83"/>
      <c r="V55" s="83"/>
      <c r="W55" s="83"/>
      <c r="X55" s="84"/>
      <c r="Y55" s="84"/>
      <c r="Z55" s="84"/>
      <c r="AA55" s="84"/>
      <c r="AB55" s="84"/>
      <c r="AC55" s="85"/>
      <c r="AD55" s="69"/>
    </row>
    <row r="56" spans="1:30" ht="21" customHeight="1">
      <c r="A56" s="78"/>
      <c r="B56" s="79"/>
      <c r="C56" s="80"/>
      <c r="D56" s="80"/>
      <c r="E56" s="80"/>
      <c r="F56" s="80"/>
      <c r="G56" s="81"/>
      <c r="H56" s="81"/>
      <c r="I56" s="81"/>
      <c r="J56" s="81"/>
      <c r="K56" s="81"/>
      <c r="L56" s="81"/>
      <c r="M56" s="81"/>
      <c r="N56" s="82"/>
      <c r="O56" s="82"/>
      <c r="P56" s="82"/>
      <c r="Q56" s="82"/>
      <c r="R56" s="82"/>
      <c r="S56" s="82"/>
      <c r="T56" s="83"/>
      <c r="U56" s="83"/>
      <c r="V56" s="83"/>
      <c r="W56" s="83"/>
      <c r="X56" s="84"/>
      <c r="Y56" s="84"/>
      <c r="Z56" s="84"/>
      <c r="AA56" s="84"/>
      <c r="AB56" s="84"/>
      <c r="AC56" s="85"/>
      <c r="AD56" s="69"/>
    </row>
    <row r="57" spans="1:30" ht="21" customHeight="1">
      <c r="A57" s="78"/>
      <c r="B57" s="79"/>
      <c r="C57" s="80"/>
      <c r="D57" s="80"/>
      <c r="E57" s="80"/>
      <c r="F57" s="80"/>
      <c r="G57" s="81"/>
      <c r="H57" s="81"/>
      <c r="I57" s="81"/>
      <c r="J57" s="81"/>
      <c r="K57" s="81"/>
      <c r="L57" s="81"/>
      <c r="M57" s="81"/>
      <c r="N57" s="82"/>
      <c r="O57" s="82"/>
      <c r="P57" s="82"/>
      <c r="Q57" s="82"/>
      <c r="R57" s="82"/>
      <c r="S57" s="82"/>
      <c r="T57" s="83"/>
      <c r="U57" s="83"/>
      <c r="V57" s="83"/>
      <c r="W57" s="83"/>
      <c r="X57" s="84"/>
      <c r="Y57" s="84"/>
      <c r="Z57" s="84"/>
      <c r="AA57" s="84"/>
      <c r="AB57" s="84"/>
      <c r="AC57" s="85"/>
      <c r="AD57" s="69"/>
    </row>
    <row r="58" spans="1:30" ht="21" customHeight="1">
      <c r="A58" s="78"/>
      <c r="B58" s="79"/>
      <c r="C58" s="80"/>
      <c r="D58" s="80"/>
      <c r="E58" s="80"/>
      <c r="F58" s="80"/>
      <c r="G58" s="81"/>
      <c r="H58" s="81"/>
      <c r="I58" s="81"/>
      <c r="J58" s="81"/>
      <c r="K58" s="81"/>
      <c r="L58" s="81"/>
      <c r="M58" s="81"/>
      <c r="N58" s="82"/>
      <c r="O58" s="82"/>
      <c r="P58" s="82"/>
      <c r="Q58" s="82"/>
      <c r="R58" s="82"/>
      <c r="S58" s="82"/>
      <c r="T58" s="83"/>
      <c r="U58" s="83"/>
      <c r="V58" s="83"/>
      <c r="W58" s="83"/>
      <c r="X58" s="84"/>
      <c r="Y58" s="84"/>
      <c r="Z58" s="84"/>
      <c r="AA58" s="84"/>
      <c r="AB58" s="84"/>
      <c r="AC58" s="85"/>
      <c r="AD58" s="69"/>
    </row>
    <row r="59" spans="1:30" ht="21" customHeight="1">
      <c r="A59" s="78"/>
      <c r="B59" s="79"/>
      <c r="C59" s="80"/>
      <c r="D59" s="80"/>
      <c r="E59" s="80"/>
      <c r="F59" s="80"/>
      <c r="G59" s="81"/>
      <c r="H59" s="81"/>
      <c r="I59" s="81"/>
      <c r="J59" s="81"/>
      <c r="K59" s="81"/>
      <c r="L59" s="81"/>
      <c r="M59" s="81"/>
      <c r="N59" s="82"/>
      <c r="O59" s="82"/>
      <c r="P59" s="82"/>
      <c r="Q59" s="82"/>
      <c r="R59" s="82"/>
      <c r="S59" s="82"/>
      <c r="T59" s="83"/>
      <c r="U59" s="83"/>
      <c r="V59" s="83"/>
      <c r="W59" s="83"/>
      <c r="X59" s="84"/>
      <c r="Y59" s="84"/>
      <c r="Z59" s="84"/>
      <c r="AA59" s="84"/>
      <c r="AB59" s="84"/>
      <c r="AC59" s="85"/>
      <c r="AD59" s="69"/>
    </row>
    <row r="60" spans="1:30" ht="21" customHeight="1">
      <c r="A60" s="78"/>
      <c r="B60" s="79"/>
      <c r="C60" s="80"/>
      <c r="D60" s="80"/>
      <c r="E60" s="80"/>
      <c r="F60" s="80"/>
      <c r="G60" s="81"/>
      <c r="H60" s="81"/>
      <c r="I60" s="81"/>
      <c r="J60" s="81"/>
      <c r="K60" s="81"/>
      <c r="L60" s="81"/>
      <c r="M60" s="81"/>
      <c r="N60" s="82"/>
      <c r="O60" s="82"/>
      <c r="P60" s="82"/>
      <c r="Q60" s="82"/>
      <c r="R60" s="82"/>
      <c r="S60" s="82"/>
      <c r="T60" s="83"/>
      <c r="U60" s="83"/>
      <c r="V60" s="83"/>
      <c r="W60" s="83"/>
      <c r="X60" s="84"/>
      <c r="Y60" s="84"/>
      <c r="Z60" s="84"/>
      <c r="AA60" s="84"/>
      <c r="AB60" s="84"/>
      <c r="AC60" s="85"/>
      <c r="AD60" s="69"/>
    </row>
    <row r="61" spans="1:30" ht="21" customHeight="1">
      <c r="A61" s="78"/>
      <c r="B61" s="79"/>
      <c r="C61" s="80"/>
      <c r="D61" s="80"/>
      <c r="E61" s="80"/>
      <c r="F61" s="80"/>
      <c r="G61" s="81"/>
      <c r="H61" s="81"/>
      <c r="I61" s="81"/>
      <c r="J61" s="81"/>
      <c r="K61" s="81"/>
      <c r="L61" s="81"/>
      <c r="M61" s="81"/>
      <c r="N61" s="82"/>
      <c r="O61" s="82"/>
      <c r="P61" s="82"/>
      <c r="Q61" s="82"/>
      <c r="R61" s="82"/>
      <c r="S61" s="82"/>
      <c r="T61" s="83"/>
      <c r="U61" s="83"/>
      <c r="V61" s="83"/>
      <c r="W61" s="83"/>
      <c r="X61" s="84"/>
      <c r="Y61" s="84"/>
      <c r="Z61" s="84"/>
      <c r="AA61" s="84"/>
      <c r="AB61" s="84"/>
      <c r="AC61" s="85"/>
      <c r="AD61" s="69"/>
    </row>
    <row r="62" spans="1:30" ht="21" customHeight="1">
      <c r="A62" s="78"/>
      <c r="B62" s="79"/>
      <c r="C62" s="80"/>
      <c r="D62" s="80"/>
      <c r="E62" s="80"/>
      <c r="F62" s="80"/>
      <c r="G62" s="81"/>
      <c r="H62" s="81"/>
      <c r="I62" s="81"/>
      <c r="J62" s="81"/>
      <c r="K62" s="81"/>
      <c r="L62" s="81"/>
      <c r="M62" s="81"/>
      <c r="N62" s="82"/>
      <c r="O62" s="82"/>
      <c r="P62" s="82"/>
      <c r="Q62" s="82"/>
      <c r="R62" s="82"/>
      <c r="S62" s="82"/>
      <c r="T62" s="83"/>
      <c r="U62" s="83"/>
      <c r="V62" s="83"/>
      <c r="W62" s="83"/>
      <c r="X62" s="84"/>
      <c r="Y62" s="84"/>
      <c r="Z62" s="84"/>
      <c r="AA62" s="84"/>
      <c r="AB62" s="84"/>
      <c r="AC62" s="85"/>
      <c r="AD62" s="69"/>
    </row>
    <row r="63" spans="1:30" ht="21" customHeight="1">
      <c r="A63" s="78"/>
      <c r="B63" s="79"/>
      <c r="C63" s="80"/>
      <c r="D63" s="80"/>
      <c r="E63" s="80"/>
      <c r="F63" s="80"/>
      <c r="G63" s="81"/>
      <c r="H63" s="81"/>
      <c r="I63" s="81"/>
      <c r="J63" s="81"/>
      <c r="K63" s="81"/>
      <c r="L63" s="81"/>
      <c r="M63" s="81"/>
      <c r="N63" s="82"/>
      <c r="O63" s="82"/>
      <c r="P63" s="82"/>
      <c r="Q63" s="82"/>
      <c r="R63" s="82"/>
      <c r="S63" s="82"/>
      <c r="T63" s="83"/>
      <c r="U63" s="83"/>
      <c r="V63" s="83"/>
      <c r="W63" s="83"/>
      <c r="X63" s="84"/>
      <c r="Y63" s="84"/>
      <c r="Z63" s="84"/>
      <c r="AA63" s="84"/>
      <c r="AB63" s="84"/>
      <c r="AC63" s="85"/>
      <c r="AD63" s="69"/>
    </row>
    <row r="64" spans="1:30" ht="21" customHeight="1">
      <c r="A64" s="78"/>
      <c r="B64" s="79"/>
      <c r="C64" s="80"/>
      <c r="D64" s="80"/>
      <c r="E64" s="80"/>
      <c r="F64" s="80"/>
      <c r="G64" s="81"/>
      <c r="H64" s="81"/>
      <c r="I64" s="81"/>
      <c r="J64" s="81"/>
      <c r="K64" s="81"/>
      <c r="L64" s="81"/>
      <c r="M64" s="81"/>
      <c r="N64" s="82"/>
      <c r="O64" s="82"/>
      <c r="P64" s="82"/>
      <c r="Q64" s="82"/>
      <c r="R64" s="82"/>
      <c r="S64" s="82"/>
      <c r="T64" s="83"/>
      <c r="U64" s="83"/>
      <c r="V64" s="83"/>
      <c r="W64" s="83"/>
      <c r="X64" s="84"/>
      <c r="Y64" s="84"/>
      <c r="Z64" s="84"/>
      <c r="AA64" s="84"/>
      <c r="AB64" s="84"/>
      <c r="AC64" s="85"/>
      <c r="AD64" s="69"/>
    </row>
    <row r="65" spans="1:30" ht="21" customHeight="1">
      <c r="A65" s="78"/>
      <c r="B65" s="79"/>
      <c r="C65" s="80"/>
      <c r="D65" s="80"/>
      <c r="E65" s="80"/>
      <c r="F65" s="80"/>
      <c r="G65" s="81"/>
      <c r="H65" s="81"/>
      <c r="I65" s="81"/>
      <c r="J65" s="81"/>
      <c r="K65" s="81"/>
      <c r="L65" s="81"/>
      <c r="M65" s="81"/>
      <c r="N65" s="82"/>
      <c r="O65" s="82"/>
      <c r="P65" s="82"/>
      <c r="Q65" s="82"/>
      <c r="R65" s="82"/>
      <c r="S65" s="82"/>
      <c r="T65" s="83"/>
      <c r="U65" s="83"/>
      <c r="V65" s="83"/>
      <c r="W65" s="83"/>
      <c r="X65" s="84"/>
      <c r="Y65" s="84"/>
      <c r="Z65" s="84"/>
      <c r="AA65" s="84"/>
      <c r="AB65" s="84"/>
      <c r="AC65" s="85"/>
      <c r="AD65" s="69"/>
    </row>
    <row r="66" spans="1:30" ht="21" customHeight="1">
      <c r="A66" s="78"/>
      <c r="B66" s="79"/>
      <c r="C66" s="80"/>
      <c r="D66" s="80"/>
      <c r="E66" s="80"/>
      <c r="F66" s="80"/>
      <c r="G66" s="81"/>
      <c r="H66" s="81"/>
      <c r="I66" s="81"/>
      <c r="J66" s="81"/>
      <c r="K66" s="81"/>
      <c r="L66" s="81"/>
      <c r="M66" s="81"/>
      <c r="N66" s="82"/>
      <c r="O66" s="82"/>
      <c r="P66" s="82"/>
      <c r="Q66" s="82"/>
      <c r="R66" s="82"/>
      <c r="S66" s="82"/>
      <c r="T66" s="83"/>
      <c r="U66" s="83"/>
      <c r="V66" s="83"/>
      <c r="W66" s="83"/>
      <c r="X66" s="84"/>
      <c r="Y66" s="84"/>
      <c r="Z66" s="84"/>
      <c r="AA66" s="84"/>
      <c r="AB66" s="84"/>
      <c r="AC66" s="85"/>
      <c r="AD66" s="69"/>
    </row>
    <row r="67" spans="1:30" ht="21" customHeight="1">
      <c r="A67" s="78"/>
      <c r="B67" s="79"/>
      <c r="C67" s="80"/>
      <c r="D67" s="80"/>
      <c r="E67" s="80"/>
      <c r="F67" s="80"/>
      <c r="G67" s="81"/>
      <c r="H67" s="81"/>
      <c r="I67" s="81"/>
      <c r="J67" s="81"/>
      <c r="K67" s="81"/>
      <c r="L67" s="81"/>
      <c r="M67" s="81"/>
      <c r="N67" s="82"/>
      <c r="O67" s="82"/>
      <c r="P67" s="82"/>
      <c r="Q67" s="82"/>
      <c r="R67" s="82"/>
      <c r="S67" s="82"/>
      <c r="T67" s="83"/>
      <c r="U67" s="83"/>
      <c r="V67" s="83"/>
      <c r="W67" s="83"/>
      <c r="X67" s="84"/>
      <c r="Y67" s="84"/>
      <c r="Z67" s="84"/>
      <c r="AA67" s="84"/>
      <c r="AB67" s="84"/>
      <c r="AC67" s="85"/>
      <c r="AD67" s="69"/>
    </row>
    <row r="68" spans="1:30" ht="21" customHeight="1">
      <c r="A68" s="78"/>
      <c r="B68" s="79"/>
      <c r="C68" s="80"/>
      <c r="D68" s="80"/>
      <c r="E68" s="80"/>
      <c r="F68" s="80"/>
      <c r="G68" s="81"/>
      <c r="H68" s="81"/>
      <c r="I68" s="81"/>
      <c r="J68" s="81"/>
      <c r="K68" s="81"/>
      <c r="L68" s="81"/>
      <c r="M68" s="81"/>
      <c r="N68" s="82"/>
      <c r="O68" s="82"/>
      <c r="P68" s="82"/>
      <c r="Q68" s="82"/>
      <c r="R68" s="82"/>
      <c r="S68" s="82"/>
      <c r="T68" s="83"/>
      <c r="U68" s="83"/>
      <c r="V68" s="83"/>
      <c r="W68" s="83"/>
      <c r="X68" s="84"/>
      <c r="Y68" s="84"/>
      <c r="Z68" s="84"/>
      <c r="AA68" s="84"/>
      <c r="AB68" s="84"/>
      <c r="AC68" s="85"/>
      <c r="AD68" s="69"/>
    </row>
    <row r="69" spans="1:30" ht="21" customHeight="1">
      <c r="A69" s="78"/>
      <c r="B69" s="79"/>
      <c r="C69" s="80"/>
      <c r="D69" s="80"/>
      <c r="E69" s="80"/>
      <c r="F69" s="80"/>
      <c r="G69" s="81"/>
      <c r="H69" s="81"/>
      <c r="I69" s="81"/>
      <c r="J69" s="81"/>
      <c r="K69" s="81"/>
      <c r="L69" s="81"/>
      <c r="M69" s="81"/>
      <c r="N69" s="82"/>
      <c r="O69" s="82"/>
      <c r="P69" s="82"/>
      <c r="Q69" s="82"/>
      <c r="R69" s="82"/>
      <c r="S69" s="82"/>
      <c r="T69" s="83"/>
      <c r="U69" s="83"/>
      <c r="V69" s="83"/>
      <c r="W69" s="83"/>
      <c r="X69" s="84"/>
      <c r="Y69" s="84"/>
      <c r="Z69" s="84"/>
      <c r="AA69" s="84"/>
      <c r="AB69" s="84"/>
      <c r="AC69" s="85"/>
      <c r="AD69" s="69"/>
    </row>
    <row r="70" spans="1:30" ht="21" customHeight="1">
      <c r="A70" s="78"/>
      <c r="B70" s="79"/>
      <c r="C70" s="80"/>
      <c r="D70" s="80"/>
      <c r="E70" s="80"/>
      <c r="F70" s="80"/>
      <c r="G70" s="81"/>
      <c r="H70" s="81"/>
      <c r="I70" s="81"/>
      <c r="J70" s="81"/>
      <c r="K70" s="81"/>
      <c r="L70" s="81"/>
      <c r="M70" s="81"/>
      <c r="N70" s="82"/>
      <c r="O70" s="82"/>
      <c r="P70" s="82"/>
      <c r="Q70" s="82"/>
      <c r="R70" s="82"/>
      <c r="S70" s="82"/>
      <c r="T70" s="83"/>
      <c r="U70" s="83"/>
      <c r="V70" s="83"/>
      <c r="W70" s="83"/>
      <c r="X70" s="84"/>
      <c r="Y70" s="84"/>
      <c r="Z70" s="84"/>
      <c r="AA70" s="84"/>
      <c r="AB70" s="84"/>
      <c r="AC70" s="85"/>
      <c r="AD70" s="69"/>
    </row>
    <row r="71" spans="1:30" ht="21" customHeight="1">
      <c r="A71" s="78"/>
      <c r="B71" s="79"/>
      <c r="C71" s="80"/>
      <c r="D71" s="80"/>
      <c r="E71" s="80"/>
      <c r="F71" s="80"/>
      <c r="G71" s="81"/>
      <c r="H71" s="81"/>
      <c r="I71" s="81"/>
      <c r="J71" s="81"/>
      <c r="K71" s="81"/>
      <c r="L71" s="81"/>
      <c r="M71" s="81"/>
      <c r="N71" s="82"/>
      <c r="O71" s="82"/>
      <c r="P71" s="82"/>
      <c r="Q71" s="82"/>
      <c r="R71" s="82"/>
      <c r="S71" s="82"/>
      <c r="T71" s="83"/>
      <c r="U71" s="83"/>
      <c r="V71" s="83"/>
      <c r="W71" s="83"/>
      <c r="X71" s="84"/>
      <c r="Y71" s="84"/>
      <c r="Z71" s="84"/>
      <c r="AA71" s="84"/>
      <c r="AB71" s="84"/>
      <c r="AC71" s="85"/>
      <c r="AD71" s="69"/>
    </row>
    <row r="72" spans="1:30" ht="21" customHeight="1">
      <c r="A72" s="78"/>
      <c r="B72" s="79"/>
      <c r="C72" s="80"/>
      <c r="D72" s="80"/>
      <c r="E72" s="80"/>
      <c r="F72" s="80"/>
      <c r="G72" s="81"/>
      <c r="H72" s="81"/>
      <c r="I72" s="81"/>
      <c r="J72" s="81"/>
      <c r="K72" s="81"/>
      <c r="L72" s="81"/>
      <c r="M72" s="81"/>
      <c r="N72" s="82"/>
      <c r="O72" s="82"/>
      <c r="P72" s="82"/>
      <c r="Q72" s="82"/>
      <c r="R72" s="82"/>
      <c r="S72" s="82"/>
      <c r="T72" s="83"/>
      <c r="U72" s="83"/>
      <c r="V72" s="83"/>
      <c r="W72" s="83"/>
      <c r="X72" s="84"/>
      <c r="Y72" s="84"/>
      <c r="Z72" s="84"/>
      <c r="AA72" s="84"/>
      <c r="AB72" s="84"/>
      <c r="AC72" s="85"/>
      <c r="AD72" s="69"/>
    </row>
    <row r="73" spans="1:30" ht="21" customHeight="1">
      <c r="A73" s="78"/>
      <c r="B73" s="79"/>
      <c r="C73" s="80"/>
      <c r="D73" s="80"/>
      <c r="E73" s="80"/>
      <c r="F73" s="80"/>
      <c r="G73" s="81"/>
      <c r="H73" s="81"/>
      <c r="I73" s="81"/>
      <c r="J73" s="81"/>
      <c r="K73" s="81"/>
      <c r="L73" s="81"/>
      <c r="M73" s="81"/>
      <c r="N73" s="82"/>
      <c r="O73" s="82"/>
      <c r="P73" s="82"/>
      <c r="Q73" s="82"/>
      <c r="R73" s="82"/>
      <c r="S73" s="82"/>
      <c r="T73" s="83"/>
      <c r="U73" s="83"/>
      <c r="V73" s="83"/>
      <c r="W73" s="83"/>
      <c r="X73" s="84"/>
      <c r="Y73" s="84"/>
      <c r="Z73" s="84"/>
      <c r="AA73" s="84"/>
      <c r="AB73" s="84"/>
      <c r="AC73" s="85"/>
      <c r="AD73" s="69"/>
    </row>
    <row r="74" spans="1:30" ht="21" customHeight="1">
      <c r="A74" s="78"/>
      <c r="B74" s="79"/>
      <c r="C74" s="80"/>
      <c r="D74" s="80"/>
      <c r="E74" s="80"/>
      <c r="F74" s="80"/>
      <c r="G74" s="81"/>
      <c r="H74" s="81"/>
      <c r="I74" s="81"/>
      <c r="J74" s="81"/>
      <c r="K74" s="81"/>
      <c r="L74" s="81"/>
      <c r="M74" s="81"/>
      <c r="N74" s="82"/>
      <c r="O74" s="82"/>
      <c r="P74" s="82"/>
      <c r="Q74" s="82"/>
      <c r="R74" s="82"/>
      <c r="S74" s="82"/>
      <c r="T74" s="83"/>
      <c r="U74" s="83"/>
      <c r="V74" s="83"/>
      <c r="W74" s="83"/>
      <c r="X74" s="84"/>
      <c r="Y74" s="84"/>
      <c r="Z74" s="84"/>
      <c r="AA74" s="84"/>
      <c r="AB74" s="84"/>
      <c r="AC74" s="85"/>
      <c r="AD74" s="69"/>
    </row>
    <row r="75" spans="1:30" ht="21" customHeight="1" thickBot="1">
      <c r="A75" s="86"/>
      <c r="B75" s="87"/>
      <c r="C75" s="88"/>
      <c r="D75" s="88"/>
      <c r="E75" s="88"/>
      <c r="F75" s="88"/>
      <c r="G75" s="89"/>
      <c r="H75" s="89"/>
      <c r="I75" s="89"/>
      <c r="J75" s="89"/>
      <c r="K75" s="89"/>
      <c r="L75" s="89"/>
      <c r="M75" s="89"/>
      <c r="N75" s="90"/>
      <c r="O75" s="90"/>
      <c r="P75" s="90"/>
      <c r="Q75" s="90"/>
      <c r="R75" s="90"/>
      <c r="S75" s="90"/>
      <c r="T75" s="91"/>
      <c r="U75" s="91"/>
      <c r="V75" s="91"/>
      <c r="W75" s="91"/>
      <c r="X75" s="92"/>
      <c r="Y75" s="92"/>
      <c r="Z75" s="92"/>
      <c r="AA75" s="92"/>
      <c r="AB75" s="92"/>
      <c r="AC75" s="93"/>
      <c r="AD75" s="69"/>
    </row>
    <row r="76" spans="1:30" s="95" customFormat="1" ht="24.95" customHeight="1">
      <c r="A76" s="629" t="s">
        <v>424</v>
      </c>
      <c r="B76" s="630"/>
      <c r="C76" s="100" t="e">
        <f>SUM(C10,C13,C16,C19,C22,C25,C28,C31)</f>
        <v>#REF!</v>
      </c>
      <c r="D76" s="623" t="e">
        <f>SUM(D10,D13,D16,D19,D22,D25,D28,D31)</f>
        <v>#REF!</v>
      </c>
      <c r="E76" s="625"/>
      <c r="F76" s="626"/>
      <c r="G76" s="623" t="e">
        <f>SUM(G10,G13,G16,G19,G22,G25,G28,G31)</f>
        <v>#REF!</v>
      </c>
      <c r="H76" s="625"/>
      <c r="I76" s="626"/>
      <c r="J76" s="623" t="e">
        <f>SUM(J10,J13,J16,J19,J22,J25,J28,J31)</f>
        <v>#REF!</v>
      </c>
      <c r="K76" s="626"/>
      <c r="L76" s="623" t="e">
        <f>SUM(L10,L13,L16,L19,L22,L25,L28,L31)</f>
        <v>#REF!</v>
      </c>
      <c r="M76" s="626"/>
      <c r="N76" s="623" t="e">
        <f>SUM(N10,N13,N16,N19,N22,N25,N28,N31)</f>
        <v>#REF!</v>
      </c>
      <c r="O76" s="626"/>
      <c r="P76" s="623" t="e">
        <f>SUM(P10,P13,P16,P19,P22,P25,P28,P31)</f>
        <v>#REF!</v>
      </c>
      <c r="Q76" s="626"/>
      <c r="R76" s="623" t="e">
        <f>SUM(R10,R13,R16,R19,R22,R25,R28,R31)</f>
        <v>#REF!</v>
      </c>
      <c r="S76" s="626"/>
      <c r="T76" s="623" t="e">
        <f>SUM(T10,T13,T16,T19,T22,T25,T28,T31)</f>
        <v>#REF!</v>
      </c>
      <c r="U76" s="626"/>
      <c r="V76" s="623" t="e">
        <f>SUM(V10,V13,V16,V19,V22,V25,V28,V31)</f>
        <v>#REF!</v>
      </c>
      <c r="W76" s="626"/>
      <c r="X76" s="623" t="e">
        <f>SUM(X10,X13,X16,X19,X22,X25,X28,X31)</f>
        <v>#REF!</v>
      </c>
      <c r="Y76" s="626"/>
      <c r="Z76" s="623" t="e">
        <f>SUM(Z10,Z13,Z16,Z19,Z22,Z25,Z28,Z31)</f>
        <v>#REF!</v>
      </c>
      <c r="AA76" s="626"/>
      <c r="AB76" s="623" t="e">
        <f>SUM(AB10,AB13,AB16,AB19,AB22,AB25,AB28,AB31)</f>
        <v>#REF!</v>
      </c>
      <c r="AC76" s="624"/>
      <c r="AD76" s="94"/>
    </row>
    <row r="77" spans="1:30" s="95" customFormat="1" ht="24.95" customHeight="1" thickBot="1">
      <c r="A77" s="631"/>
      <c r="B77" s="632"/>
      <c r="C77" s="101" t="e">
        <f>SUM(C12,C15,C18,C21,C24,C27,C30,C33)</f>
        <v>#REF!</v>
      </c>
      <c r="D77" s="613" t="e">
        <f>D76/$C$76</f>
        <v>#REF!</v>
      </c>
      <c r="E77" s="633"/>
      <c r="F77" s="614"/>
      <c r="G77" s="613" t="e">
        <f>G76/$C$76</f>
        <v>#REF!</v>
      </c>
      <c r="H77" s="633"/>
      <c r="I77" s="614"/>
      <c r="J77" s="613" t="e">
        <f>J76/$C$76</f>
        <v>#REF!</v>
      </c>
      <c r="K77" s="614"/>
      <c r="L77" s="613" t="e">
        <f>L76/$C$76</f>
        <v>#REF!</v>
      </c>
      <c r="M77" s="614"/>
      <c r="N77" s="613" t="e">
        <f>N76/$C$76</f>
        <v>#REF!</v>
      </c>
      <c r="O77" s="614"/>
      <c r="P77" s="613" t="e">
        <f>P76/$C$76</f>
        <v>#REF!</v>
      </c>
      <c r="Q77" s="614"/>
      <c r="R77" s="613" t="e">
        <f>R76/$C$76</f>
        <v>#REF!</v>
      </c>
      <c r="S77" s="614"/>
      <c r="T77" s="613" t="e">
        <f>T76/$C$76</f>
        <v>#REF!</v>
      </c>
      <c r="U77" s="614"/>
      <c r="V77" s="613" t="e">
        <f>V76/$C$76</f>
        <v>#REF!</v>
      </c>
      <c r="W77" s="614"/>
      <c r="X77" s="613" t="e">
        <f>X76/$C$76</f>
        <v>#REF!</v>
      </c>
      <c r="Y77" s="614"/>
      <c r="Z77" s="613" t="e">
        <f>Z76/$C$76</f>
        <v>#REF!</v>
      </c>
      <c r="AA77" s="614"/>
      <c r="AB77" s="613" t="e">
        <f>AB76/$C$76</f>
        <v>#REF!</v>
      </c>
      <c r="AC77" s="627"/>
      <c r="AD77" s="146" t="e">
        <f>SUM(D77:AC77)</f>
        <v>#REF!</v>
      </c>
    </row>
    <row r="78" spans="1:30" s="95" customFormat="1" ht="24.95" customHeight="1">
      <c r="A78" s="635" t="s">
        <v>425</v>
      </c>
      <c r="B78" s="636"/>
      <c r="C78" s="636"/>
      <c r="D78" s="605" t="e">
        <f>D76</f>
        <v>#REF!</v>
      </c>
      <c r="E78" s="634"/>
      <c r="F78" s="606"/>
      <c r="G78" s="605" t="e">
        <f>G76+D78</f>
        <v>#REF!</v>
      </c>
      <c r="H78" s="634"/>
      <c r="I78" s="606"/>
      <c r="J78" s="605" t="e">
        <f>J76+G78</f>
        <v>#REF!</v>
      </c>
      <c r="K78" s="606"/>
      <c r="L78" s="605" t="e">
        <f>L76+J78</f>
        <v>#REF!</v>
      </c>
      <c r="M78" s="606"/>
      <c r="N78" s="605" t="e">
        <f>N76+L78</f>
        <v>#REF!</v>
      </c>
      <c r="O78" s="606"/>
      <c r="P78" s="605" t="e">
        <f>P76+N78</f>
        <v>#REF!</v>
      </c>
      <c r="Q78" s="606"/>
      <c r="R78" s="605" t="e">
        <f>R76+P78</f>
        <v>#REF!</v>
      </c>
      <c r="S78" s="606"/>
      <c r="T78" s="605" t="e">
        <f>T76+R78</f>
        <v>#REF!</v>
      </c>
      <c r="U78" s="606"/>
      <c r="V78" s="605" t="e">
        <f>V76+T78</f>
        <v>#REF!</v>
      </c>
      <c r="W78" s="606"/>
      <c r="X78" s="605" t="e">
        <f>X76+V78</f>
        <v>#REF!</v>
      </c>
      <c r="Y78" s="606"/>
      <c r="Z78" s="605" t="e">
        <f>Z76+X78</f>
        <v>#REF!</v>
      </c>
      <c r="AA78" s="606"/>
      <c r="AB78" s="605" t="e">
        <f>AB76+Z78</f>
        <v>#REF!</v>
      </c>
      <c r="AC78" s="607"/>
    </row>
    <row r="79" spans="1:30" s="95" customFormat="1" ht="24.95" customHeight="1" thickBot="1">
      <c r="A79" s="637" t="s">
        <v>426</v>
      </c>
      <c r="B79" s="638"/>
      <c r="C79" s="638"/>
      <c r="D79" s="603" t="e">
        <f>D78/C76</f>
        <v>#REF!</v>
      </c>
      <c r="E79" s="628"/>
      <c r="F79" s="608"/>
      <c r="G79" s="603" t="e">
        <f>G78/C76</f>
        <v>#REF!</v>
      </c>
      <c r="H79" s="628"/>
      <c r="I79" s="608"/>
      <c r="J79" s="603" t="e">
        <f>J78/C76</f>
        <v>#REF!</v>
      </c>
      <c r="K79" s="608"/>
      <c r="L79" s="603" t="e">
        <f>L78/$C76</f>
        <v>#REF!</v>
      </c>
      <c r="M79" s="608"/>
      <c r="N79" s="603" t="e">
        <f>N78/$C76</f>
        <v>#REF!</v>
      </c>
      <c r="O79" s="608"/>
      <c r="P79" s="603" t="e">
        <f>P78/$C76</f>
        <v>#REF!</v>
      </c>
      <c r="Q79" s="608"/>
      <c r="R79" s="603" t="e">
        <f>R78/$C76</f>
        <v>#REF!</v>
      </c>
      <c r="S79" s="608"/>
      <c r="T79" s="603" t="e">
        <f>T78/$C76</f>
        <v>#REF!</v>
      </c>
      <c r="U79" s="608"/>
      <c r="V79" s="603" t="e">
        <f>V78/$C76</f>
        <v>#REF!</v>
      </c>
      <c r="W79" s="608"/>
      <c r="X79" s="603" t="e">
        <f>X78/$C76</f>
        <v>#REF!</v>
      </c>
      <c r="Y79" s="608"/>
      <c r="Z79" s="603" t="e">
        <f>Z78/$C76</f>
        <v>#REF!</v>
      </c>
      <c r="AA79" s="608"/>
      <c r="AB79" s="603" t="e">
        <f>AB78/$C76</f>
        <v>#REF!</v>
      </c>
      <c r="AC79" s="604"/>
    </row>
    <row r="80" spans="1:30" ht="36" customHeight="1">
      <c r="A80" s="55" t="s">
        <v>427</v>
      </c>
      <c r="B80" s="96" t="e">
        <f>#REF!+100%</f>
        <v>#REF!</v>
      </c>
    </row>
    <row r="81" spans="2:2" ht="20.100000000000001" customHeight="1">
      <c r="B81" s="98"/>
    </row>
    <row r="82" spans="2:2" ht="20.100000000000001" customHeight="1">
      <c r="B82" s="98"/>
    </row>
    <row r="83" spans="2:2" ht="20.100000000000001" customHeight="1">
      <c r="B83" s="98"/>
    </row>
    <row r="84" spans="2:2" ht="20.100000000000001" customHeight="1">
      <c r="B84" s="98"/>
    </row>
    <row r="85" spans="2:2" ht="20.100000000000001" customHeight="1">
      <c r="B85" s="98"/>
    </row>
    <row r="86" spans="2:2" ht="20.100000000000001" customHeight="1">
      <c r="B86" s="98"/>
    </row>
    <row r="87" spans="2:2" ht="20.100000000000001" customHeight="1">
      <c r="B87" s="99"/>
    </row>
    <row r="88" spans="2:2" ht="20.100000000000001" customHeight="1">
      <c r="B88" s="99"/>
    </row>
    <row r="89" spans="2:2" ht="20.100000000000001" customHeight="1">
      <c r="B89" s="99"/>
    </row>
    <row r="90" spans="2:2" ht="20.100000000000001" customHeight="1">
      <c r="B90" s="99"/>
    </row>
    <row r="91" spans="2:2" ht="20.100000000000001" customHeight="1">
      <c r="B91" s="99"/>
    </row>
    <row r="92" spans="2:2" ht="20.100000000000001" customHeight="1">
      <c r="B92" s="99"/>
    </row>
    <row r="93" spans="2:2" ht="20.100000000000001" customHeight="1"/>
    <row r="94" spans="2:2" ht="20.100000000000001" customHeight="1"/>
    <row r="95" spans="2:2" ht="20.100000000000001" customHeight="1"/>
    <row r="96" spans="2:2" ht="20.100000000000001" customHeight="1"/>
  </sheetData>
  <mergeCells count="291">
    <mergeCell ref="P16:Q16"/>
    <mergeCell ref="R16:S16"/>
    <mergeCell ref="V16:W16"/>
    <mergeCell ref="Z16:AA16"/>
    <mergeCell ref="L13:M13"/>
    <mergeCell ref="P13:Q13"/>
    <mergeCell ref="R13:S13"/>
    <mergeCell ref="V13:W13"/>
    <mergeCell ref="Z13:AA13"/>
    <mergeCell ref="P15:Q15"/>
    <mergeCell ref="R15:S15"/>
    <mergeCell ref="V15:W15"/>
    <mergeCell ref="Z15:AA15"/>
    <mergeCell ref="Z12:AA12"/>
    <mergeCell ref="N12:O12"/>
    <mergeCell ref="P12:Q12"/>
    <mergeCell ref="R12:S12"/>
    <mergeCell ref="V12:W12"/>
    <mergeCell ref="AB16:AC16"/>
    <mergeCell ref="T18:U18"/>
    <mergeCell ref="X18:Y18"/>
    <mergeCell ref="AB18:AC18"/>
    <mergeCell ref="AB12:AC12"/>
    <mergeCell ref="T15:U15"/>
    <mergeCell ref="X15:Y15"/>
    <mergeCell ref="AB15:AC15"/>
    <mergeCell ref="T16:U16"/>
    <mergeCell ref="T12:U12"/>
    <mergeCell ref="X16:Y16"/>
    <mergeCell ref="AB13:AC13"/>
    <mergeCell ref="V10:W10"/>
    <mergeCell ref="Z10:AA10"/>
    <mergeCell ref="X12:Y12"/>
    <mergeCell ref="N10:O10"/>
    <mergeCell ref="R10:S10"/>
    <mergeCell ref="T13:U13"/>
    <mergeCell ref="X13:Y13"/>
    <mergeCell ref="X10:Y10"/>
    <mergeCell ref="P10:Q10"/>
    <mergeCell ref="C1:N1"/>
    <mergeCell ref="O1:AC1"/>
    <mergeCell ref="C2:N2"/>
    <mergeCell ref="O2:AC5"/>
    <mergeCell ref="C3:N3"/>
    <mergeCell ref="U7:X7"/>
    <mergeCell ref="Y7:AC7"/>
    <mergeCell ref="O6:T6"/>
    <mergeCell ref="U6:X6"/>
    <mergeCell ref="Y6:AC6"/>
    <mergeCell ref="O7:T7"/>
    <mergeCell ref="A8:AC8"/>
    <mergeCell ref="A10:A12"/>
    <mergeCell ref="B10:B12"/>
    <mergeCell ref="G9:I9"/>
    <mergeCell ref="J9:K9"/>
    <mergeCell ref="N9:O9"/>
    <mergeCell ref="T9:U9"/>
    <mergeCell ref="P9:Q9"/>
    <mergeCell ref="V9:W9"/>
    <mergeCell ref="D9:F9"/>
    <mergeCell ref="D10:F10"/>
    <mergeCell ref="D12:F12"/>
    <mergeCell ref="R9:S9"/>
    <mergeCell ref="L10:M10"/>
    <mergeCell ref="G12:I12"/>
    <mergeCell ref="X9:Y9"/>
    <mergeCell ref="L12:M12"/>
    <mergeCell ref="J10:K10"/>
    <mergeCell ref="AB9:AC9"/>
    <mergeCell ref="G10:I10"/>
    <mergeCell ref="T10:U10"/>
    <mergeCell ref="L9:M9"/>
    <mergeCell ref="AB10:AC10"/>
    <mergeCell ref="J12:K12"/>
    <mergeCell ref="Z9:AA9"/>
    <mergeCell ref="A28:A30"/>
    <mergeCell ref="B28:B30"/>
    <mergeCell ref="B31:B33"/>
    <mergeCell ref="A79:C79"/>
    <mergeCell ref="A4:B4"/>
    <mergeCell ref="C4:N4"/>
    <mergeCell ref="A5:B7"/>
    <mergeCell ref="C5:N5"/>
    <mergeCell ref="C6:I6"/>
    <mergeCell ref="J6:N6"/>
    <mergeCell ref="C7:I7"/>
    <mergeCell ref="J7:N7"/>
    <mergeCell ref="L15:M15"/>
    <mergeCell ref="G79:I79"/>
    <mergeCell ref="A13:A15"/>
    <mergeCell ref="B13:B15"/>
    <mergeCell ref="A76:B77"/>
    <mergeCell ref="D13:F13"/>
    <mergeCell ref="D15:F15"/>
    <mergeCell ref="A16:A18"/>
    <mergeCell ref="D30:F30"/>
    <mergeCell ref="D28:F28"/>
    <mergeCell ref="D77:F77"/>
    <mergeCell ref="B16:B18"/>
    <mergeCell ref="G13:I13"/>
    <mergeCell ref="G15:I15"/>
    <mergeCell ref="D33:F33"/>
    <mergeCell ref="D31:F31"/>
    <mergeCell ref="D78:F78"/>
    <mergeCell ref="A78:C78"/>
    <mergeCell ref="G78:I78"/>
    <mergeCell ref="G77:I77"/>
    <mergeCell ref="D79:F79"/>
    <mergeCell ref="A22:A24"/>
    <mergeCell ref="B22:B24"/>
    <mergeCell ref="A25:A27"/>
    <mergeCell ref="B25:B27"/>
    <mergeCell ref="J13:K13"/>
    <mergeCell ref="J15:K15"/>
    <mergeCell ref="N13:O13"/>
    <mergeCell ref="D24:F24"/>
    <mergeCell ref="D22:F22"/>
    <mergeCell ref="D18:F18"/>
    <mergeCell ref="D16:F16"/>
    <mergeCell ref="D19:F19"/>
    <mergeCell ref="D21:F21"/>
    <mergeCell ref="G18:I18"/>
    <mergeCell ref="J18:K18"/>
    <mergeCell ref="G16:I16"/>
    <mergeCell ref="J16:K16"/>
    <mergeCell ref="L21:M21"/>
    <mergeCell ref="N15:O15"/>
    <mergeCell ref="L19:M19"/>
    <mergeCell ref="L16:M16"/>
    <mergeCell ref="N18:O18"/>
    <mergeCell ref="N16:O16"/>
    <mergeCell ref="L18:M18"/>
    <mergeCell ref="L30:M30"/>
    <mergeCell ref="P30:Q30"/>
    <mergeCell ref="D27:F27"/>
    <mergeCell ref="D25:F25"/>
    <mergeCell ref="L25:M25"/>
    <mergeCell ref="P25:Q25"/>
    <mergeCell ref="L27:M27"/>
    <mergeCell ref="P27:Q27"/>
    <mergeCell ref="L28:M28"/>
    <mergeCell ref="P28:Q28"/>
    <mergeCell ref="AB77:AC77"/>
    <mergeCell ref="G76:I76"/>
    <mergeCell ref="L76:M76"/>
    <mergeCell ref="P76:Q76"/>
    <mergeCell ref="L77:M77"/>
    <mergeCell ref="P77:Q77"/>
    <mergeCell ref="T76:U76"/>
    <mergeCell ref="X76:Y76"/>
    <mergeCell ref="P18:Q18"/>
    <mergeCell ref="R18:S18"/>
    <mergeCell ref="V18:W18"/>
    <mergeCell ref="Z18:AA18"/>
    <mergeCell ref="J77:K77"/>
    <mergeCell ref="N77:O77"/>
    <mergeCell ref="T77:U77"/>
    <mergeCell ref="X77:Y77"/>
    <mergeCell ref="J76:K76"/>
    <mergeCell ref="R77:S77"/>
    <mergeCell ref="P22:Q22"/>
    <mergeCell ref="R22:S22"/>
    <mergeCell ref="V22:W22"/>
    <mergeCell ref="Z22:AA22"/>
    <mergeCell ref="V24:W24"/>
    <mergeCell ref="Z24:AA24"/>
    <mergeCell ref="AB19:AC19"/>
    <mergeCell ref="A19:A21"/>
    <mergeCell ref="B19:B21"/>
    <mergeCell ref="G19:I19"/>
    <mergeCell ref="G21:I21"/>
    <mergeCell ref="J21:K21"/>
    <mergeCell ref="N21:O21"/>
    <mergeCell ref="T21:U21"/>
    <mergeCell ref="X21:Y21"/>
    <mergeCell ref="AB21:AC21"/>
    <mergeCell ref="J19:K19"/>
    <mergeCell ref="N19:O19"/>
    <mergeCell ref="T19:U19"/>
    <mergeCell ref="X19:Y19"/>
    <mergeCell ref="R19:S19"/>
    <mergeCell ref="V19:W19"/>
    <mergeCell ref="Z19:AA19"/>
    <mergeCell ref="P21:Q21"/>
    <mergeCell ref="R21:S21"/>
    <mergeCell ref="V21:W21"/>
    <mergeCell ref="Z21:AA21"/>
    <mergeCell ref="P19:Q19"/>
    <mergeCell ref="AB24:AC24"/>
    <mergeCell ref="G22:I22"/>
    <mergeCell ref="J22:K22"/>
    <mergeCell ref="N22:O22"/>
    <mergeCell ref="T25:U25"/>
    <mergeCell ref="X25:Y25"/>
    <mergeCell ref="R25:S25"/>
    <mergeCell ref="V25:W25"/>
    <mergeCell ref="Z25:AA25"/>
    <mergeCell ref="G25:I25"/>
    <mergeCell ref="L24:M24"/>
    <mergeCell ref="P24:Q24"/>
    <mergeCell ref="R24:S24"/>
    <mergeCell ref="L22:M22"/>
    <mergeCell ref="AB22:AC22"/>
    <mergeCell ref="G24:I24"/>
    <mergeCell ref="J24:K24"/>
    <mergeCell ref="N24:O24"/>
    <mergeCell ref="T24:U24"/>
    <mergeCell ref="X24:Y24"/>
    <mergeCell ref="T22:U22"/>
    <mergeCell ref="X22:Y22"/>
    <mergeCell ref="R27:S27"/>
    <mergeCell ref="V27:W27"/>
    <mergeCell ref="Z27:AA27"/>
    <mergeCell ref="AB25:AC25"/>
    <mergeCell ref="G27:I27"/>
    <mergeCell ref="J27:K27"/>
    <mergeCell ref="N27:O27"/>
    <mergeCell ref="T27:U27"/>
    <mergeCell ref="X27:Y27"/>
    <mergeCell ref="AB27:AC27"/>
    <mergeCell ref="J25:K25"/>
    <mergeCell ref="N25:O25"/>
    <mergeCell ref="AB30:AC30"/>
    <mergeCell ref="G28:I28"/>
    <mergeCell ref="J28:K28"/>
    <mergeCell ref="N28:O28"/>
    <mergeCell ref="R33:S33"/>
    <mergeCell ref="V33:W33"/>
    <mergeCell ref="Z33:AA33"/>
    <mergeCell ref="L31:M31"/>
    <mergeCell ref="P31:Q31"/>
    <mergeCell ref="L33:M33"/>
    <mergeCell ref="Z28:AA28"/>
    <mergeCell ref="R30:S30"/>
    <mergeCell ref="V30:W30"/>
    <mergeCell ref="Z30:AA30"/>
    <mergeCell ref="AB28:AC28"/>
    <mergeCell ref="G30:I30"/>
    <mergeCell ref="J30:K30"/>
    <mergeCell ref="N30:O30"/>
    <mergeCell ref="T30:U30"/>
    <mergeCell ref="X30:Y30"/>
    <mergeCell ref="T28:U28"/>
    <mergeCell ref="X28:Y28"/>
    <mergeCell ref="R28:S28"/>
    <mergeCell ref="V28:W28"/>
    <mergeCell ref="A31:A33"/>
    <mergeCell ref="R79:S79"/>
    <mergeCell ref="V79:W79"/>
    <mergeCell ref="Z79:AA79"/>
    <mergeCell ref="X79:Y79"/>
    <mergeCell ref="P33:Q33"/>
    <mergeCell ref="X33:Y33"/>
    <mergeCell ref="V77:W77"/>
    <mergeCell ref="AB33:AC33"/>
    <mergeCell ref="G31:I31"/>
    <mergeCell ref="J31:K31"/>
    <mergeCell ref="N31:O31"/>
    <mergeCell ref="T31:U31"/>
    <mergeCell ref="X31:Y31"/>
    <mergeCell ref="R31:S31"/>
    <mergeCell ref="V31:W31"/>
    <mergeCell ref="AB31:AC31"/>
    <mergeCell ref="G33:I33"/>
    <mergeCell ref="AB76:AC76"/>
    <mergeCell ref="D76:F76"/>
    <mergeCell ref="N76:O76"/>
    <mergeCell ref="R76:S76"/>
    <mergeCell ref="V76:W76"/>
    <mergeCell ref="Z76:AA76"/>
    <mergeCell ref="J33:K33"/>
    <mergeCell ref="N33:O33"/>
    <mergeCell ref="T33:U33"/>
    <mergeCell ref="V78:W78"/>
    <mergeCell ref="Z78:AA78"/>
    <mergeCell ref="Z31:AA31"/>
    <mergeCell ref="L78:M78"/>
    <mergeCell ref="P78:Q78"/>
    <mergeCell ref="Z77:AA77"/>
    <mergeCell ref="AB79:AC79"/>
    <mergeCell ref="T78:U78"/>
    <mergeCell ref="X78:Y78"/>
    <mergeCell ref="AB78:AC78"/>
    <mergeCell ref="J78:K78"/>
    <mergeCell ref="J79:K79"/>
    <mergeCell ref="N78:O78"/>
    <mergeCell ref="N79:O79"/>
    <mergeCell ref="T79:U79"/>
    <mergeCell ref="R78:S78"/>
    <mergeCell ref="L79:M79"/>
    <mergeCell ref="P79:Q79"/>
  </mergeCells>
  <pageMargins left="0.59055118110236227" right="0.39370078740157483" top="0.39370078740157483" bottom="0.39370078740157483" header="0" footer="0"/>
  <pageSetup paperSize="8" scale="50" orientation="landscape" verticalDpi="4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9"/>
  <dimension ref="A1:AD95"/>
  <sheetViews>
    <sheetView zoomScale="70" zoomScaleNormal="70" workbookViewId="0">
      <selection activeCell="A9" sqref="A9"/>
    </sheetView>
  </sheetViews>
  <sheetFormatPr defaultRowHeight="15"/>
  <cols>
    <col min="1" max="1" width="15.140625" style="55" customWidth="1"/>
    <col min="2" max="2" width="43.140625" style="55" customWidth="1"/>
    <col min="3" max="3" width="18.28515625" style="97" customWidth="1"/>
    <col min="4" max="5" width="6.7109375" style="97" customWidth="1"/>
    <col min="6" max="6" width="12.7109375" style="97" customWidth="1"/>
    <col min="7" max="8" width="6.7109375" style="97" customWidth="1"/>
    <col min="9" max="29" width="12.7109375" style="97" customWidth="1"/>
    <col min="30" max="30" width="17.28515625" style="55" bestFit="1" customWidth="1"/>
    <col min="31" max="16384" width="9.140625" style="55"/>
  </cols>
  <sheetData>
    <row r="1" spans="1:30" ht="27" customHeight="1">
      <c r="A1" s="53"/>
      <c r="B1" s="54"/>
      <c r="C1" s="670" t="s">
        <v>76</v>
      </c>
      <c r="D1" s="671"/>
      <c r="E1" s="671"/>
      <c r="F1" s="671"/>
      <c r="G1" s="671"/>
      <c r="H1" s="671"/>
      <c r="I1" s="671"/>
      <c r="J1" s="671"/>
      <c r="K1" s="671"/>
      <c r="L1" s="671"/>
      <c r="M1" s="671"/>
      <c r="N1" s="671"/>
      <c r="O1" s="672" t="s">
        <v>82</v>
      </c>
      <c r="P1" s="673"/>
      <c r="Q1" s="673"/>
      <c r="R1" s="673"/>
      <c r="S1" s="673"/>
      <c r="T1" s="673"/>
      <c r="U1" s="673"/>
      <c r="V1" s="673"/>
      <c r="W1" s="673"/>
      <c r="X1" s="673"/>
      <c r="Y1" s="673"/>
      <c r="Z1" s="673"/>
      <c r="AA1" s="673"/>
      <c r="AB1" s="673"/>
      <c r="AC1" s="674"/>
    </row>
    <row r="2" spans="1:30" ht="30" customHeight="1">
      <c r="A2" s="56"/>
      <c r="B2" s="57"/>
      <c r="C2" s="675" t="s">
        <v>77</v>
      </c>
      <c r="D2" s="676"/>
      <c r="E2" s="676"/>
      <c r="F2" s="676"/>
      <c r="G2" s="676"/>
      <c r="H2" s="676"/>
      <c r="I2" s="676"/>
      <c r="J2" s="676"/>
      <c r="K2" s="676"/>
      <c r="L2" s="676"/>
      <c r="M2" s="676"/>
      <c r="N2" s="676"/>
      <c r="O2" s="677">
        <f>ORÇAMENTO!D7</f>
        <v>0</v>
      </c>
      <c r="P2" s="678"/>
      <c r="Q2" s="678"/>
      <c r="R2" s="678"/>
      <c r="S2" s="678"/>
      <c r="T2" s="678"/>
      <c r="U2" s="678"/>
      <c r="V2" s="678"/>
      <c r="W2" s="678"/>
      <c r="X2" s="678"/>
      <c r="Y2" s="678"/>
      <c r="Z2" s="678"/>
      <c r="AA2" s="678"/>
      <c r="AB2" s="678"/>
      <c r="AC2" s="679"/>
    </row>
    <row r="3" spans="1:30" ht="30.75" customHeight="1">
      <c r="A3" s="58"/>
      <c r="B3" s="59"/>
      <c r="C3" s="683" t="s">
        <v>78</v>
      </c>
      <c r="D3" s="684"/>
      <c r="E3" s="684"/>
      <c r="F3" s="684"/>
      <c r="G3" s="684"/>
      <c r="H3" s="684"/>
      <c r="I3" s="684"/>
      <c r="J3" s="684"/>
      <c r="K3" s="684"/>
      <c r="L3" s="684"/>
      <c r="M3" s="684"/>
      <c r="N3" s="685"/>
      <c r="O3" s="677"/>
      <c r="P3" s="678"/>
      <c r="Q3" s="678"/>
      <c r="R3" s="678"/>
      <c r="S3" s="678"/>
      <c r="T3" s="678"/>
      <c r="U3" s="678"/>
      <c r="V3" s="678"/>
      <c r="W3" s="678"/>
      <c r="X3" s="678"/>
      <c r="Y3" s="678"/>
      <c r="Z3" s="678"/>
      <c r="AA3" s="678"/>
      <c r="AB3" s="678"/>
      <c r="AC3" s="679"/>
    </row>
    <row r="4" spans="1:30" ht="24.75" customHeight="1">
      <c r="A4" s="639" t="s">
        <v>358</v>
      </c>
      <c r="B4" s="640"/>
      <c r="C4" s="641" t="s">
        <v>79</v>
      </c>
      <c r="D4" s="642"/>
      <c r="E4" s="642"/>
      <c r="F4" s="642"/>
      <c r="G4" s="642"/>
      <c r="H4" s="642"/>
      <c r="I4" s="642"/>
      <c r="J4" s="642"/>
      <c r="K4" s="642"/>
      <c r="L4" s="642"/>
      <c r="M4" s="642"/>
      <c r="N4" s="642"/>
      <c r="O4" s="677"/>
      <c r="P4" s="678"/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8"/>
      <c r="AB4" s="678"/>
      <c r="AC4" s="679"/>
    </row>
    <row r="5" spans="1:30" ht="33.75" customHeight="1">
      <c r="A5" s="643"/>
      <c r="B5" s="644"/>
      <c r="C5" s="646" t="s">
        <v>428</v>
      </c>
      <c r="D5" s="647"/>
      <c r="E5" s="647"/>
      <c r="F5" s="647"/>
      <c r="G5" s="647"/>
      <c r="H5" s="647"/>
      <c r="I5" s="647"/>
      <c r="J5" s="647"/>
      <c r="K5" s="647"/>
      <c r="L5" s="647"/>
      <c r="M5" s="647"/>
      <c r="N5" s="647"/>
      <c r="O5" s="680"/>
      <c r="P5" s="681"/>
      <c r="Q5" s="681"/>
      <c r="R5" s="681"/>
      <c r="S5" s="681"/>
      <c r="T5" s="681"/>
      <c r="U5" s="681"/>
      <c r="V5" s="681"/>
      <c r="W5" s="681"/>
      <c r="X5" s="681"/>
      <c r="Y5" s="681"/>
      <c r="Z5" s="681"/>
      <c r="AA5" s="681"/>
      <c r="AB5" s="681"/>
      <c r="AC5" s="682"/>
    </row>
    <row r="6" spans="1:30" ht="18.75" customHeight="1">
      <c r="A6" s="645"/>
      <c r="B6" s="644"/>
      <c r="C6" s="648" t="s">
        <v>359</v>
      </c>
      <c r="D6" s="649"/>
      <c r="E6" s="649"/>
      <c r="F6" s="649"/>
      <c r="G6" s="649"/>
      <c r="H6" s="649"/>
      <c r="I6" s="650"/>
      <c r="J6" s="651" t="s">
        <v>85</v>
      </c>
      <c r="K6" s="652"/>
      <c r="L6" s="652"/>
      <c r="M6" s="652"/>
      <c r="N6" s="652"/>
      <c r="O6" s="651" t="s">
        <v>86</v>
      </c>
      <c r="P6" s="652"/>
      <c r="Q6" s="652"/>
      <c r="R6" s="652"/>
      <c r="S6" s="652"/>
      <c r="T6" s="689"/>
      <c r="U6" s="651" t="s">
        <v>410</v>
      </c>
      <c r="V6" s="652"/>
      <c r="W6" s="652"/>
      <c r="X6" s="689"/>
      <c r="Y6" s="651" t="s">
        <v>87</v>
      </c>
      <c r="Z6" s="652"/>
      <c r="AA6" s="652"/>
      <c r="AB6" s="652"/>
      <c r="AC6" s="690"/>
    </row>
    <row r="7" spans="1:30" ht="33.75" customHeight="1">
      <c r="A7" s="645"/>
      <c r="B7" s="644"/>
      <c r="C7" s="653"/>
      <c r="D7" s="654"/>
      <c r="E7" s="654"/>
      <c r="F7" s="654"/>
      <c r="G7" s="654"/>
      <c r="H7" s="654"/>
      <c r="I7" s="655"/>
      <c r="J7" s="656">
        <f>ORÇAMENTO!D9</f>
        <v>0</v>
      </c>
      <c r="K7" s="657"/>
      <c r="L7" s="657"/>
      <c r="M7" s="657"/>
      <c r="N7" s="657"/>
      <c r="O7" s="663">
        <f>ORÇAMENTO!G9</f>
        <v>42138</v>
      </c>
      <c r="P7" s="664"/>
      <c r="Q7" s="664"/>
      <c r="R7" s="664"/>
      <c r="S7" s="664"/>
      <c r="T7" s="665"/>
      <c r="U7" s="663" t="e">
        <f>ORÇAMENTO!#REF!</f>
        <v>#REF!</v>
      </c>
      <c r="V7" s="664"/>
      <c r="W7" s="664"/>
      <c r="X7" s="665"/>
      <c r="Y7" s="686">
        <f>ORÇAMENTO!I9</f>
        <v>0</v>
      </c>
      <c r="Z7" s="687"/>
      <c r="AA7" s="687"/>
      <c r="AB7" s="687"/>
      <c r="AC7" s="688"/>
    </row>
    <row r="8" spans="1:30" ht="15" customHeight="1">
      <c r="A8" s="666" t="s">
        <v>429</v>
      </c>
      <c r="B8" s="667"/>
      <c r="C8" s="667"/>
      <c r="D8" s="667"/>
      <c r="E8" s="667"/>
      <c r="F8" s="667"/>
      <c r="G8" s="667"/>
      <c r="H8" s="667"/>
      <c r="I8" s="667"/>
      <c r="J8" s="667"/>
      <c r="K8" s="667"/>
      <c r="L8" s="667"/>
      <c r="M8" s="667"/>
      <c r="N8" s="667"/>
      <c r="O8" s="667"/>
      <c r="P8" s="667"/>
      <c r="Q8" s="667"/>
      <c r="R8" s="667"/>
      <c r="S8" s="667"/>
      <c r="T8" s="667"/>
      <c r="U8" s="667"/>
      <c r="V8" s="667"/>
      <c r="W8" s="667"/>
      <c r="X8" s="667"/>
      <c r="Y8" s="667"/>
      <c r="Z8" s="667"/>
      <c r="AA8" s="667"/>
      <c r="AB8" s="667"/>
      <c r="AC8" s="668"/>
    </row>
    <row r="9" spans="1:30" s="60" customFormat="1" ht="23.25" customHeight="1" thickBot="1">
      <c r="A9" s="104" t="s">
        <v>67</v>
      </c>
      <c r="B9" s="105" t="s">
        <v>68</v>
      </c>
      <c r="C9" s="106" t="s">
        <v>411</v>
      </c>
      <c r="D9" s="658" t="s">
        <v>412</v>
      </c>
      <c r="E9" s="669"/>
      <c r="F9" s="659"/>
      <c r="G9" s="658" t="s">
        <v>413</v>
      </c>
      <c r="H9" s="669"/>
      <c r="I9" s="659"/>
      <c r="J9" s="658" t="s">
        <v>414</v>
      </c>
      <c r="K9" s="659"/>
      <c r="L9" s="658" t="s">
        <v>415</v>
      </c>
      <c r="M9" s="659"/>
      <c r="N9" s="658" t="s">
        <v>416</v>
      </c>
      <c r="O9" s="659"/>
      <c r="P9" s="658" t="s">
        <v>417</v>
      </c>
      <c r="Q9" s="659"/>
      <c r="R9" s="658" t="s">
        <v>418</v>
      </c>
      <c r="S9" s="659"/>
      <c r="T9" s="658" t="s">
        <v>419</v>
      </c>
      <c r="U9" s="659"/>
      <c r="V9" s="658" t="s">
        <v>420</v>
      </c>
      <c r="W9" s="659"/>
      <c r="X9" s="658" t="s">
        <v>421</v>
      </c>
      <c r="Y9" s="659"/>
      <c r="Z9" s="658" t="s">
        <v>422</v>
      </c>
      <c r="AA9" s="659"/>
      <c r="AB9" s="658" t="s">
        <v>423</v>
      </c>
      <c r="AC9" s="662"/>
    </row>
    <row r="10" spans="1:30" ht="15" customHeight="1" thickBot="1">
      <c r="A10" s="615" t="str">
        <f>ORÇAMENTO!A18</f>
        <v>GRUPO 2</v>
      </c>
      <c r="B10" s="622" t="str">
        <f>ORÇAMENTO!B18</f>
        <v>MATERIAIS</v>
      </c>
      <c r="C10" s="143" t="s">
        <v>430</v>
      </c>
      <c r="D10" s="611" t="s">
        <v>430</v>
      </c>
      <c r="E10" s="617"/>
      <c r="F10" s="612"/>
      <c r="G10" s="611"/>
      <c r="H10" s="617"/>
      <c r="I10" s="612"/>
      <c r="J10" s="611"/>
      <c r="K10" s="612"/>
      <c r="L10" s="611"/>
      <c r="M10" s="612"/>
      <c r="N10" s="611"/>
      <c r="O10" s="612"/>
      <c r="P10" s="611"/>
      <c r="Q10" s="612"/>
      <c r="R10" s="611"/>
      <c r="S10" s="612"/>
      <c r="T10" s="611"/>
      <c r="U10" s="612"/>
      <c r="V10" s="611"/>
      <c r="W10" s="612"/>
      <c r="X10" s="611"/>
      <c r="Y10" s="612"/>
      <c r="Z10" s="611"/>
      <c r="AA10" s="612"/>
      <c r="AB10" s="611"/>
      <c r="AC10" s="618"/>
      <c r="AD10" s="145">
        <f>SUM(D10:AC10)</f>
        <v>0</v>
      </c>
    </row>
    <row r="11" spans="1:30" ht="15" customHeight="1" thickBot="1">
      <c r="A11" s="615"/>
      <c r="B11" s="622"/>
      <c r="C11" s="136"/>
      <c r="D11" s="141"/>
      <c r="E11" s="62"/>
      <c r="F11" s="61"/>
      <c r="G11" s="142"/>
      <c r="H11" s="66"/>
      <c r="I11" s="68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67"/>
      <c r="AD11" s="64"/>
    </row>
    <row r="12" spans="1:30" s="65" customFormat="1" ht="15" customHeight="1" thickBot="1">
      <c r="A12" s="615"/>
      <c r="B12" s="622"/>
      <c r="C12" s="144" t="s">
        <v>353</v>
      </c>
      <c r="D12" s="691" t="s">
        <v>353</v>
      </c>
      <c r="E12" s="692"/>
      <c r="F12" s="693"/>
      <c r="G12" s="691"/>
      <c r="H12" s="692"/>
      <c r="I12" s="693"/>
      <c r="J12" s="660"/>
      <c r="K12" s="661"/>
      <c r="L12" s="660"/>
      <c r="M12" s="661"/>
      <c r="N12" s="660"/>
      <c r="O12" s="661"/>
      <c r="P12" s="660"/>
      <c r="Q12" s="661"/>
      <c r="R12" s="660"/>
      <c r="S12" s="661"/>
      <c r="T12" s="660"/>
      <c r="U12" s="661"/>
      <c r="V12" s="660"/>
      <c r="W12" s="661"/>
      <c r="X12" s="660"/>
      <c r="Y12" s="661"/>
      <c r="Z12" s="660"/>
      <c r="AA12" s="661"/>
      <c r="AB12" s="660"/>
      <c r="AC12" s="694"/>
      <c r="AD12" s="64">
        <f>SUM(D12:AC12)</f>
        <v>0</v>
      </c>
    </row>
    <row r="13" spans="1:30" ht="15" customHeight="1" thickBot="1">
      <c r="A13" s="615" t="e">
        <f>ORÇAMENTO!#REF!</f>
        <v>#REF!</v>
      </c>
      <c r="B13" s="622" t="e">
        <f>ORÇAMENTO!#REF!</f>
        <v>#REF!</v>
      </c>
      <c r="C13" s="143"/>
      <c r="D13" s="611"/>
      <c r="E13" s="617"/>
      <c r="F13" s="612"/>
      <c r="G13" s="611"/>
      <c r="H13" s="617"/>
      <c r="I13" s="612"/>
      <c r="J13" s="611"/>
      <c r="K13" s="612"/>
      <c r="L13" s="611"/>
      <c r="M13" s="612"/>
      <c r="N13" s="611"/>
      <c r="O13" s="612"/>
      <c r="P13" s="611"/>
      <c r="Q13" s="612"/>
      <c r="R13" s="611"/>
      <c r="S13" s="612"/>
      <c r="T13" s="611"/>
      <c r="U13" s="612"/>
      <c r="V13" s="611"/>
      <c r="W13" s="612"/>
      <c r="X13" s="611"/>
      <c r="Y13" s="612"/>
      <c r="Z13" s="611"/>
      <c r="AA13" s="612"/>
      <c r="AB13" s="611"/>
      <c r="AC13" s="618"/>
      <c r="AD13" s="145">
        <f>SUM(D13:AC13)</f>
        <v>0</v>
      </c>
    </row>
    <row r="14" spans="1:30" ht="15" customHeight="1" thickBot="1">
      <c r="A14" s="615"/>
      <c r="B14" s="622"/>
      <c r="C14" s="136"/>
      <c r="D14" s="142"/>
      <c r="E14" s="66"/>
      <c r="F14" s="68"/>
      <c r="G14" s="142"/>
      <c r="H14" s="66"/>
      <c r="I14" s="68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67"/>
      <c r="AD14" s="64"/>
    </row>
    <row r="15" spans="1:30" ht="15" customHeight="1" thickBot="1">
      <c r="A15" s="615"/>
      <c r="B15" s="622"/>
      <c r="C15" s="144"/>
      <c r="D15" s="619"/>
      <c r="E15" s="620"/>
      <c r="F15" s="621"/>
      <c r="G15" s="619"/>
      <c r="H15" s="620"/>
      <c r="I15" s="621"/>
      <c r="J15" s="609"/>
      <c r="K15" s="610"/>
      <c r="L15" s="609"/>
      <c r="M15" s="610"/>
      <c r="N15" s="609"/>
      <c r="O15" s="610"/>
      <c r="P15" s="609"/>
      <c r="Q15" s="610"/>
      <c r="R15" s="609"/>
      <c r="S15" s="610"/>
      <c r="T15" s="609"/>
      <c r="U15" s="610"/>
      <c r="V15" s="609"/>
      <c r="W15" s="610"/>
      <c r="X15" s="609"/>
      <c r="Y15" s="610"/>
      <c r="Z15" s="609"/>
      <c r="AA15" s="610"/>
      <c r="AB15" s="609"/>
      <c r="AC15" s="616"/>
      <c r="AD15" s="64">
        <f>SUM(D15:AC15)</f>
        <v>0</v>
      </c>
    </row>
    <row r="16" spans="1:30" ht="15" customHeight="1" thickBot="1">
      <c r="A16" s="615" t="e">
        <f>ORÇAMENTO!#REF!</f>
        <v>#REF!</v>
      </c>
      <c r="B16" s="622" t="e">
        <f>ORÇAMENTO!#REF!</f>
        <v>#REF!</v>
      </c>
      <c r="C16" s="143"/>
      <c r="D16" s="611"/>
      <c r="E16" s="617"/>
      <c r="F16" s="612"/>
      <c r="G16" s="611"/>
      <c r="H16" s="617"/>
      <c r="I16" s="612"/>
      <c r="J16" s="611"/>
      <c r="K16" s="612"/>
      <c r="L16" s="611"/>
      <c r="M16" s="612"/>
      <c r="N16" s="611"/>
      <c r="O16" s="612"/>
      <c r="P16" s="611"/>
      <c r="Q16" s="612"/>
      <c r="R16" s="611"/>
      <c r="S16" s="612"/>
      <c r="T16" s="611"/>
      <c r="U16" s="612"/>
      <c r="V16" s="611"/>
      <c r="W16" s="612"/>
      <c r="X16" s="611"/>
      <c r="Y16" s="612"/>
      <c r="Z16" s="611"/>
      <c r="AA16" s="612"/>
      <c r="AB16" s="611"/>
      <c r="AC16" s="618"/>
      <c r="AD16" s="69"/>
    </row>
    <row r="17" spans="1:30" ht="15" customHeight="1" thickBot="1">
      <c r="A17" s="615"/>
      <c r="B17" s="622"/>
      <c r="C17" s="136"/>
      <c r="D17" s="142"/>
      <c r="E17" s="66"/>
      <c r="F17" s="68"/>
      <c r="G17" s="142"/>
      <c r="H17" s="66"/>
      <c r="I17" s="68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67"/>
      <c r="AD17" s="69"/>
    </row>
    <row r="18" spans="1:30" ht="15" customHeight="1" thickBot="1">
      <c r="A18" s="615"/>
      <c r="B18" s="622"/>
      <c r="C18" s="144"/>
      <c r="D18" s="619"/>
      <c r="E18" s="620"/>
      <c r="F18" s="621"/>
      <c r="G18" s="619"/>
      <c r="H18" s="620"/>
      <c r="I18" s="621"/>
      <c r="J18" s="609"/>
      <c r="K18" s="610"/>
      <c r="L18" s="609"/>
      <c r="M18" s="610"/>
      <c r="N18" s="609"/>
      <c r="O18" s="610"/>
      <c r="P18" s="609"/>
      <c r="Q18" s="610"/>
      <c r="R18" s="609"/>
      <c r="S18" s="610"/>
      <c r="T18" s="609"/>
      <c r="U18" s="610"/>
      <c r="V18" s="609"/>
      <c r="W18" s="610"/>
      <c r="X18" s="609"/>
      <c r="Y18" s="610"/>
      <c r="Z18" s="609"/>
      <c r="AA18" s="610"/>
      <c r="AB18" s="609"/>
      <c r="AC18" s="616"/>
      <c r="AD18" s="64">
        <f>SUM(D18:AC18)</f>
        <v>0</v>
      </c>
    </row>
    <row r="19" spans="1:30" ht="15" customHeight="1" thickBot="1">
      <c r="A19" s="615" t="e">
        <f>ORÇAMENTO!#REF!</f>
        <v>#REF!</v>
      </c>
      <c r="B19" s="622" t="e">
        <f>ORÇAMENTO!#REF!</f>
        <v>#REF!</v>
      </c>
      <c r="C19" s="143"/>
      <c r="D19" s="611"/>
      <c r="E19" s="617"/>
      <c r="F19" s="612"/>
      <c r="G19" s="611"/>
      <c r="H19" s="617"/>
      <c r="I19" s="612"/>
      <c r="J19" s="611"/>
      <c r="K19" s="612"/>
      <c r="L19" s="611"/>
      <c r="M19" s="612"/>
      <c r="N19" s="611"/>
      <c r="O19" s="612"/>
      <c r="P19" s="611"/>
      <c r="Q19" s="612"/>
      <c r="R19" s="611"/>
      <c r="S19" s="612"/>
      <c r="T19" s="611"/>
      <c r="U19" s="612"/>
      <c r="V19" s="611"/>
      <c r="W19" s="612"/>
      <c r="X19" s="611"/>
      <c r="Y19" s="612"/>
      <c r="Z19" s="611"/>
      <c r="AA19" s="612"/>
      <c r="AB19" s="611"/>
      <c r="AC19" s="618"/>
      <c r="AD19" s="69"/>
    </row>
    <row r="20" spans="1:30" ht="15" customHeight="1" thickBot="1">
      <c r="A20" s="615"/>
      <c r="B20" s="622"/>
      <c r="C20" s="136"/>
      <c r="D20" s="142"/>
      <c r="E20" s="66"/>
      <c r="F20" s="68"/>
      <c r="G20" s="142"/>
      <c r="H20" s="66"/>
      <c r="I20" s="68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67"/>
      <c r="AD20" s="69"/>
    </row>
    <row r="21" spans="1:30" ht="15" customHeight="1" thickBot="1">
      <c r="A21" s="615"/>
      <c r="B21" s="622"/>
      <c r="C21" s="144"/>
      <c r="D21" s="619"/>
      <c r="E21" s="620"/>
      <c r="F21" s="621"/>
      <c r="G21" s="619"/>
      <c r="H21" s="620"/>
      <c r="I21" s="621"/>
      <c r="J21" s="609"/>
      <c r="K21" s="610"/>
      <c r="L21" s="609"/>
      <c r="M21" s="610"/>
      <c r="N21" s="609"/>
      <c r="O21" s="610"/>
      <c r="P21" s="609"/>
      <c r="Q21" s="610"/>
      <c r="R21" s="609"/>
      <c r="S21" s="610"/>
      <c r="T21" s="609"/>
      <c r="U21" s="610"/>
      <c r="V21" s="609"/>
      <c r="W21" s="610"/>
      <c r="X21" s="609"/>
      <c r="Y21" s="610"/>
      <c r="Z21" s="609"/>
      <c r="AA21" s="610"/>
      <c r="AB21" s="609"/>
      <c r="AC21" s="616"/>
      <c r="AD21" s="64">
        <f>SUM(D21:AC21)</f>
        <v>0</v>
      </c>
    </row>
    <row r="22" spans="1:30" ht="15" customHeight="1" thickBot="1">
      <c r="A22" s="615" t="e">
        <f>ORÇAMENTO!#REF!</f>
        <v>#REF!</v>
      </c>
      <c r="B22" s="622" t="e">
        <f>ORÇAMENTO!#REF!</f>
        <v>#REF!</v>
      </c>
      <c r="C22" s="143"/>
      <c r="D22" s="611"/>
      <c r="E22" s="617"/>
      <c r="F22" s="612"/>
      <c r="G22" s="611"/>
      <c r="H22" s="617"/>
      <c r="I22" s="612"/>
      <c r="J22" s="611"/>
      <c r="K22" s="612"/>
      <c r="L22" s="611"/>
      <c r="M22" s="612"/>
      <c r="N22" s="611"/>
      <c r="O22" s="612"/>
      <c r="P22" s="611"/>
      <c r="Q22" s="612"/>
      <c r="R22" s="611"/>
      <c r="S22" s="612"/>
      <c r="T22" s="611"/>
      <c r="U22" s="612"/>
      <c r="V22" s="611"/>
      <c r="W22" s="612"/>
      <c r="X22" s="611"/>
      <c r="Y22" s="612"/>
      <c r="Z22" s="611"/>
      <c r="AA22" s="612"/>
      <c r="AB22" s="611"/>
      <c r="AC22" s="618"/>
      <c r="AD22" s="69"/>
    </row>
    <row r="23" spans="1:30" ht="15" customHeight="1" thickBot="1">
      <c r="A23" s="615"/>
      <c r="B23" s="622"/>
      <c r="C23" s="136"/>
      <c r="D23" s="142"/>
      <c r="E23" s="66"/>
      <c r="F23" s="68"/>
      <c r="G23" s="142"/>
      <c r="H23" s="66"/>
      <c r="I23" s="68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67"/>
      <c r="AD23" s="69"/>
    </row>
    <row r="24" spans="1:30" ht="15" customHeight="1" thickBot="1">
      <c r="A24" s="615"/>
      <c r="B24" s="622"/>
      <c r="C24" s="144"/>
      <c r="D24" s="619"/>
      <c r="E24" s="620"/>
      <c r="F24" s="621"/>
      <c r="G24" s="619"/>
      <c r="H24" s="620"/>
      <c r="I24" s="621"/>
      <c r="J24" s="609"/>
      <c r="K24" s="610"/>
      <c r="L24" s="609"/>
      <c r="M24" s="610"/>
      <c r="N24" s="609"/>
      <c r="O24" s="610"/>
      <c r="P24" s="609"/>
      <c r="Q24" s="610"/>
      <c r="R24" s="609"/>
      <c r="S24" s="610"/>
      <c r="T24" s="609"/>
      <c r="U24" s="610"/>
      <c r="V24" s="609"/>
      <c r="W24" s="610"/>
      <c r="X24" s="609"/>
      <c r="Y24" s="610"/>
      <c r="Z24" s="609"/>
      <c r="AA24" s="610"/>
      <c r="AB24" s="609"/>
      <c r="AC24" s="616"/>
      <c r="AD24" s="64">
        <f>SUM(D24:AC24)</f>
        <v>0</v>
      </c>
    </row>
    <row r="25" spans="1:30" ht="15" customHeight="1" thickBot="1">
      <c r="A25" s="615" t="e">
        <f>ORÇAMENTO!#REF!</f>
        <v>#REF!</v>
      </c>
      <c r="B25" s="622" t="e">
        <f>ORÇAMENTO!#REF!</f>
        <v>#REF!</v>
      </c>
      <c r="C25" s="143"/>
      <c r="D25" s="611"/>
      <c r="E25" s="617"/>
      <c r="F25" s="612"/>
      <c r="G25" s="611"/>
      <c r="H25" s="617"/>
      <c r="I25" s="612"/>
      <c r="J25" s="611"/>
      <c r="K25" s="612"/>
      <c r="L25" s="611"/>
      <c r="M25" s="612"/>
      <c r="N25" s="611"/>
      <c r="O25" s="612"/>
      <c r="P25" s="611"/>
      <c r="Q25" s="612"/>
      <c r="R25" s="611"/>
      <c r="S25" s="612"/>
      <c r="T25" s="611"/>
      <c r="U25" s="612"/>
      <c r="V25" s="611"/>
      <c r="W25" s="612"/>
      <c r="X25" s="611"/>
      <c r="Y25" s="612"/>
      <c r="Z25" s="611"/>
      <c r="AA25" s="612"/>
      <c r="AB25" s="611"/>
      <c r="AC25" s="618"/>
      <c r="AD25" s="69"/>
    </row>
    <row r="26" spans="1:30" ht="15" customHeight="1" thickBot="1">
      <c r="A26" s="615"/>
      <c r="B26" s="622"/>
      <c r="C26" s="136"/>
      <c r="D26" s="142"/>
      <c r="E26" s="66"/>
      <c r="F26" s="68"/>
      <c r="G26" s="142"/>
      <c r="H26" s="66"/>
      <c r="I26" s="68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67"/>
      <c r="AD26" s="69"/>
    </row>
    <row r="27" spans="1:30" ht="15" customHeight="1" thickBot="1">
      <c r="A27" s="615"/>
      <c r="B27" s="622"/>
      <c r="C27" s="144"/>
      <c r="D27" s="619"/>
      <c r="E27" s="620"/>
      <c r="F27" s="621"/>
      <c r="G27" s="619"/>
      <c r="H27" s="620"/>
      <c r="I27" s="621"/>
      <c r="J27" s="609"/>
      <c r="K27" s="610"/>
      <c r="L27" s="609"/>
      <c r="M27" s="610"/>
      <c r="N27" s="609"/>
      <c r="O27" s="610"/>
      <c r="P27" s="609"/>
      <c r="Q27" s="610"/>
      <c r="R27" s="609"/>
      <c r="S27" s="610"/>
      <c r="T27" s="609"/>
      <c r="U27" s="610"/>
      <c r="V27" s="609"/>
      <c r="W27" s="610"/>
      <c r="X27" s="609"/>
      <c r="Y27" s="610"/>
      <c r="Z27" s="609"/>
      <c r="AA27" s="610"/>
      <c r="AB27" s="609"/>
      <c r="AC27" s="616"/>
      <c r="AD27" s="64">
        <f>SUM(D27:AC27)</f>
        <v>0</v>
      </c>
    </row>
    <row r="28" spans="1:30" ht="15" customHeight="1" thickBot="1">
      <c r="A28" s="615" t="e">
        <f>ORÇAMENTO!#REF!</f>
        <v>#REF!</v>
      </c>
      <c r="B28" s="622" t="e">
        <f>ORÇAMENTO!#REF!</f>
        <v>#REF!</v>
      </c>
      <c r="C28" s="143"/>
      <c r="D28" s="611"/>
      <c r="E28" s="617"/>
      <c r="F28" s="612"/>
      <c r="G28" s="611"/>
      <c r="H28" s="617"/>
      <c r="I28" s="612"/>
      <c r="J28" s="611"/>
      <c r="K28" s="612"/>
      <c r="L28" s="611"/>
      <c r="M28" s="612"/>
      <c r="N28" s="611"/>
      <c r="O28" s="612"/>
      <c r="P28" s="611"/>
      <c r="Q28" s="612"/>
      <c r="R28" s="611"/>
      <c r="S28" s="612"/>
      <c r="T28" s="611"/>
      <c r="U28" s="612"/>
      <c r="V28" s="611"/>
      <c r="W28" s="612"/>
      <c r="X28" s="611"/>
      <c r="Y28" s="612"/>
      <c r="Z28" s="611"/>
      <c r="AA28" s="612"/>
      <c r="AB28" s="611"/>
      <c r="AC28" s="618"/>
      <c r="AD28" s="69"/>
    </row>
    <row r="29" spans="1:30" ht="15" customHeight="1" thickBot="1">
      <c r="A29" s="615"/>
      <c r="B29" s="622"/>
      <c r="C29" s="136"/>
      <c r="D29" s="142"/>
      <c r="E29" s="66"/>
      <c r="F29" s="68"/>
      <c r="G29" s="142"/>
      <c r="H29" s="66"/>
      <c r="I29" s="68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67"/>
      <c r="AD29" s="69"/>
    </row>
    <row r="30" spans="1:30" ht="15" customHeight="1" thickBot="1">
      <c r="A30" s="615"/>
      <c r="B30" s="622"/>
      <c r="C30" s="144"/>
      <c r="D30" s="619"/>
      <c r="E30" s="620"/>
      <c r="F30" s="621"/>
      <c r="G30" s="619"/>
      <c r="H30" s="620"/>
      <c r="I30" s="621"/>
      <c r="J30" s="609"/>
      <c r="K30" s="610"/>
      <c r="L30" s="609"/>
      <c r="M30" s="610"/>
      <c r="N30" s="609"/>
      <c r="O30" s="610"/>
      <c r="P30" s="609"/>
      <c r="Q30" s="610"/>
      <c r="R30" s="609"/>
      <c r="S30" s="610"/>
      <c r="T30" s="609"/>
      <c r="U30" s="610"/>
      <c r="V30" s="609"/>
      <c r="W30" s="610"/>
      <c r="X30" s="609"/>
      <c r="Y30" s="610"/>
      <c r="Z30" s="609"/>
      <c r="AA30" s="610"/>
      <c r="AB30" s="609"/>
      <c r="AC30" s="616"/>
      <c r="AD30" s="69"/>
    </row>
    <row r="31" spans="1:30" ht="15" customHeight="1" thickBot="1">
      <c r="A31" s="615" t="e">
        <f>ORÇAMENTO!#REF!</f>
        <v>#REF!</v>
      </c>
      <c r="B31" s="622" t="e">
        <f>ORÇAMENTO!#REF!</f>
        <v>#REF!</v>
      </c>
      <c r="C31" s="143"/>
      <c r="D31" s="611"/>
      <c r="E31" s="617"/>
      <c r="F31" s="612"/>
      <c r="G31" s="611"/>
      <c r="H31" s="617"/>
      <c r="I31" s="612"/>
      <c r="J31" s="611"/>
      <c r="K31" s="612"/>
      <c r="L31" s="611"/>
      <c r="M31" s="612"/>
      <c r="N31" s="611"/>
      <c r="O31" s="612"/>
      <c r="P31" s="611"/>
      <c r="Q31" s="612"/>
      <c r="R31" s="611"/>
      <c r="S31" s="612"/>
      <c r="T31" s="611"/>
      <c r="U31" s="612"/>
      <c r="V31" s="611"/>
      <c r="W31" s="612"/>
      <c r="X31" s="611"/>
      <c r="Y31" s="612"/>
      <c r="Z31" s="611"/>
      <c r="AA31" s="612"/>
      <c r="AB31" s="611"/>
      <c r="AC31" s="618"/>
      <c r="AD31" s="69"/>
    </row>
    <row r="32" spans="1:30" ht="15" customHeight="1" thickBot="1">
      <c r="A32" s="615"/>
      <c r="B32" s="622"/>
      <c r="C32" s="136"/>
      <c r="D32" s="142"/>
      <c r="E32" s="66"/>
      <c r="F32" s="68"/>
      <c r="G32" s="142"/>
      <c r="H32" s="66"/>
      <c r="I32" s="68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67"/>
      <c r="AD32" s="69"/>
    </row>
    <row r="33" spans="1:30" ht="15" customHeight="1" thickBot="1">
      <c r="A33" s="615"/>
      <c r="B33" s="622"/>
      <c r="C33" s="144"/>
      <c r="D33" s="619"/>
      <c r="E33" s="620"/>
      <c r="F33" s="621"/>
      <c r="G33" s="619"/>
      <c r="H33" s="620"/>
      <c r="I33" s="621"/>
      <c r="J33" s="609"/>
      <c r="K33" s="610"/>
      <c r="L33" s="609"/>
      <c r="M33" s="610"/>
      <c r="N33" s="609"/>
      <c r="O33" s="610"/>
      <c r="P33" s="609"/>
      <c r="Q33" s="610"/>
      <c r="R33" s="609"/>
      <c r="S33" s="610"/>
      <c r="T33" s="609"/>
      <c r="U33" s="610"/>
      <c r="V33" s="609"/>
      <c r="W33" s="610"/>
      <c r="X33" s="609"/>
      <c r="Y33" s="610"/>
      <c r="Z33" s="609"/>
      <c r="AA33" s="610"/>
      <c r="AB33" s="609"/>
      <c r="AC33" s="616"/>
      <c r="AD33" s="69"/>
    </row>
    <row r="34" spans="1:30" ht="21" customHeight="1">
      <c r="A34" s="70"/>
      <c r="B34" s="71"/>
      <c r="C34" s="72"/>
      <c r="D34" s="72"/>
      <c r="E34" s="72"/>
      <c r="F34" s="72"/>
      <c r="G34" s="73"/>
      <c r="H34" s="73"/>
      <c r="I34" s="73"/>
      <c r="J34" s="73"/>
      <c r="K34" s="73"/>
      <c r="L34" s="73"/>
      <c r="M34" s="73"/>
      <c r="N34" s="74"/>
      <c r="O34" s="74"/>
      <c r="P34" s="74"/>
      <c r="Q34" s="74"/>
      <c r="R34" s="74"/>
      <c r="S34" s="74"/>
      <c r="T34" s="75"/>
      <c r="U34" s="75"/>
      <c r="V34" s="75"/>
      <c r="W34" s="75"/>
      <c r="X34" s="76"/>
      <c r="Y34" s="76"/>
      <c r="Z34" s="76"/>
      <c r="AA34" s="76"/>
      <c r="AB34" s="76"/>
      <c r="AC34" s="77"/>
      <c r="AD34" s="69"/>
    </row>
    <row r="35" spans="1:30" ht="21" customHeight="1">
      <c r="A35" s="78"/>
      <c r="B35" s="79"/>
      <c r="C35" s="80"/>
      <c r="D35" s="80"/>
      <c r="E35" s="80"/>
      <c r="F35" s="80"/>
      <c r="G35" s="81"/>
      <c r="H35" s="81"/>
      <c r="I35" s="81"/>
      <c r="J35" s="81"/>
      <c r="K35" s="81"/>
      <c r="L35" s="81"/>
      <c r="M35" s="81"/>
      <c r="N35" s="82"/>
      <c r="O35" s="82"/>
      <c r="P35" s="82"/>
      <c r="Q35" s="82"/>
      <c r="R35" s="82"/>
      <c r="S35" s="82"/>
      <c r="T35" s="83"/>
      <c r="U35" s="83"/>
      <c r="V35" s="83"/>
      <c r="W35" s="83"/>
      <c r="X35" s="84"/>
      <c r="Y35" s="84"/>
      <c r="Z35" s="84"/>
      <c r="AA35" s="84"/>
      <c r="AB35" s="84"/>
      <c r="AC35" s="85"/>
      <c r="AD35" s="69"/>
    </row>
    <row r="36" spans="1:30" ht="21" customHeight="1">
      <c r="A36" s="78"/>
      <c r="B36" s="79"/>
      <c r="C36" s="80"/>
      <c r="D36" s="80"/>
      <c r="E36" s="80"/>
      <c r="F36" s="80"/>
      <c r="G36" s="81"/>
      <c r="H36" s="81"/>
      <c r="I36" s="81"/>
      <c r="J36" s="81"/>
      <c r="K36" s="81"/>
      <c r="L36" s="81"/>
      <c r="M36" s="81"/>
      <c r="N36" s="82"/>
      <c r="O36" s="82"/>
      <c r="P36" s="82"/>
      <c r="Q36" s="82"/>
      <c r="R36" s="82"/>
      <c r="S36" s="82"/>
      <c r="T36" s="83"/>
      <c r="U36" s="83"/>
      <c r="V36" s="83"/>
      <c r="W36" s="83"/>
      <c r="X36" s="84"/>
      <c r="Y36" s="84"/>
      <c r="Z36" s="84"/>
      <c r="AA36" s="84"/>
      <c r="AB36" s="84"/>
      <c r="AC36" s="85"/>
      <c r="AD36" s="69"/>
    </row>
    <row r="37" spans="1:30" ht="21" customHeight="1">
      <c r="A37" s="78"/>
      <c r="B37" s="79"/>
      <c r="C37" s="80"/>
      <c r="D37" s="80"/>
      <c r="E37" s="80"/>
      <c r="F37" s="80"/>
      <c r="G37" s="81"/>
      <c r="H37" s="81"/>
      <c r="I37" s="81"/>
      <c r="J37" s="81"/>
      <c r="K37" s="81"/>
      <c r="L37" s="81"/>
      <c r="M37" s="81"/>
      <c r="N37" s="82"/>
      <c r="O37" s="82"/>
      <c r="P37" s="82"/>
      <c r="Q37" s="82"/>
      <c r="R37" s="82"/>
      <c r="S37" s="82"/>
      <c r="T37" s="83"/>
      <c r="U37" s="83"/>
      <c r="V37" s="83"/>
      <c r="W37" s="83"/>
      <c r="X37" s="84"/>
      <c r="Y37" s="84"/>
      <c r="Z37" s="84"/>
      <c r="AA37" s="84"/>
      <c r="AB37" s="84"/>
      <c r="AC37" s="85"/>
      <c r="AD37" s="69"/>
    </row>
    <row r="38" spans="1:30" ht="21" customHeight="1">
      <c r="A38" s="78"/>
      <c r="B38" s="79"/>
      <c r="C38" s="80"/>
      <c r="D38" s="80"/>
      <c r="E38" s="80"/>
      <c r="F38" s="80"/>
      <c r="G38" s="81"/>
      <c r="H38" s="81"/>
      <c r="I38" s="81"/>
      <c r="J38" s="81"/>
      <c r="K38" s="81"/>
      <c r="L38" s="81"/>
      <c r="M38" s="81"/>
      <c r="N38" s="82"/>
      <c r="O38" s="82"/>
      <c r="P38" s="82"/>
      <c r="Q38" s="82"/>
      <c r="R38" s="82"/>
      <c r="S38" s="82"/>
      <c r="T38" s="83"/>
      <c r="U38" s="83"/>
      <c r="V38" s="83"/>
      <c r="W38" s="83"/>
      <c r="X38" s="84"/>
      <c r="Y38" s="84"/>
      <c r="Z38" s="84"/>
      <c r="AA38" s="84"/>
      <c r="AB38" s="84"/>
      <c r="AC38" s="85"/>
      <c r="AD38" s="69"/>
    </row>
    <row r="39" spans="1:30" ht="21" customHeight="1">
      <c r="A39" s="78"/>
      <c r="B39" s="79"/>
      <c r="C39" s="80"/>
      <c r="D39" s="80"/>
      <c r="E39" s="80"/>
      <c r="F39" s="80"/>
      <c r="G39" s="81"/>
      <c r="H39" s="81"/>
      <c r="I39" s="81"/>
      <c r="J39" s="81"/>
      <c r="K39" s="81"/>
      <c r="L39" s="81"/>
      <c r="M39" s="81"/>
      <c r="N39" s="82"/>
      <c r="O39" s="82"/>
      <c r="P39" s="82"/>
      <c r="Q39" s="82"/>
      <c r="R39" s="82"/>
      <c r="S39" s="82"/>
      <c r="T39" s="83"/>
      <c r="U39" s="83"/>
      <c r="V39" s="83"/>
      <c r="W39" s="83"/>
      <c r="X39" s="84"/>
      <c r="Y39" s="84"/>
      <c r="Z39" s="84"/>
      <c r="AA39" s="84"/>
      <c r="AB39" s="84"/>
      <c r="AC39" s="85"/>
      <c r="AD39" s="69"/>
    </row>
    <row r="40" spans="1:30" ht="21" customHeight="1">
      <c r="A40" s="78"/>
      <c r="B40" s="79"/>
      <c r="C40" s="80"/>
      <c r="D40" s="80"/>
      <c r="E40" s="80"/>
      <c r="F40" s="80"/>
      <c r="G40" s="81"/>
      <c r="H40" s="81"/>
      <c r="I40" s="81"/>
      <c r="J40" s="81"/>
      <c r="K40" s="81"/>
      <c r="L40" s="81"/>
      <c r="M40" s="81"/>
      <c r="N40" s="82"/>
      <c r="O40" s="82"/>
      <c r="P40" s="82"/>
      <c r="Q40" s="82"/>
      <c r="R40" s="82"/>
      <c r="S40" s="82"/>
      <c r="T40" s="83"/>
      <c r="U40" s="83"/>
      <c r="V40" s="83"/>
      <c r="W40" s="83"/>
      <c r="X40" s="84"/>
      <c r="Y40" s="84"/>
      <c r="Z40" s="84"/>
      <c r="AA40" s="84"/>
      <c r="AB40" s="84"/>
      <c r="AC40" s="85"/>
      <c r="AD40" s="69"/>
    </row>
    <row r="41" spans="1:30" ht="21" customHeight="1">
      <c r="A41" s="78"/>
      <c r="B41" s="79"/>
      <c r="C41" s="80"/>
      <c r="D41" s="80"/>
      <c r="E41" s="80"/>
      <c r="F41" s="80"/>
      <c r="G41" s="81"/>
      <c r="H41" s="81"/>
      <c r="I41" s="81"/>
      <c r="J41" s="81"/>
      <c r="K41" s="81"/>
      <c r="L41" s="81"/>
      <c r="M41" s="81"/>
      <c r="N41" s="82"/>
      <c r="O41" s="82"/>
      <c r="P41" s="82"/>
      <c r="Q41" s="82"/>
      <c r="R41" s="82"/>
      <c r="S41" s="82"/>
      <c r="T41" s="83"/>
      <c r="U41" s="83"/>
      <c r="V41" s="83"/>
      <c r="W41" s="83"/>
      <c r="X41" s="84"/>
      <c r="Y41" s="84"/>
      <c r="Z41" s="84"/>
      <c r="AA41" s="84"/>
      <c r="AB41" s="84"/>
      <c r="AC41" s="85"/>
      <c r="AD41" s="69"/>
    </row>
    <row r="42" spans="1:30" ht="21" customHeight="1">
      <c r="A42" s="78"/>
      <c r="B42" s="79"/>
      <c r="C42" s="80"/>
      <c r="D42" s="80"/>
      <c r="E42" s="80"/>
      <c r="F42" s="80"/>
      <c r="G42" s="81"/>
      <c r="H42" s="81"/>
      <c r="I42" s="81"/>
      <c r="J42" s="81"/>
      <c r="K42" s="81"/>
      <c r="L42" s="81"/>
      <c r="M42" s="81"/>
      <c r="N42" s="82"/>
      <c r="O42" s="82"/>
      <c r="P42" s="82"/>
      <c r="Q42" s="82"/>
      <c r="R42" s="82"/>
      <c r="S42" s="82"/>
      <c r="T42" s="83"/>
      <c r="U42" s="83"/>
      <c r="V42" s="83"/>
      <c r="W42" s="83"/>
      <c r="X42" s="84"/>
      <c r="Y42" s="84"/>
      <c r="Z42" s="84"/>
      <c r="AA42" s="84"/>
      <c r="AB42" s="84"/>
      <c r="AC42" s="85"/>
      <c r="AD42" s="69"/>
    </row>
    <row r="43" spans="1:30" ht="21" customHeight="1">
      <c r="A43" s="78"/>
      <c r="B43" s="79"/>
      <c r="C43" s="80"/>
      <c r="D43" s="80"/>
      <c r="E43" s="80"/>
      <c r="F43" s="80"/>
      <c r="G43" s="81"/>
      <c r="H43" s="81"/>
      <c r="I43" s="81"/>
      <c r="J43" s="81"/>
      <c r="K43" s="81"/>
      <c r="L43" s="81"/>
      <c r="M43" s="81"/>
      <c r="N43" s="82"/>
      <c r="O43" s="82"/>
      <c r="P43" s="82"/>
      <c r="Q43" s="82"/>
      <c r="R43" s="82"/>
      <c r="S43" s="82"/>
      <c r="T43" s="83"/>
      <c r="U43" s="83"/>
      <c r="V43" s="83"/>
      <c r="W43" s="83"/>
      <c r="X43" s="84"/>
      <c r="Y43" s="84"/>
      <c r="Z43" s="84"/>
      <c r="AA43" s="84"/>
      <c r="AB43" s="84"/>
      <c r="AC43" s="85"/>
      <c r="AD43" s="69"/>
    </row>
    <row r="44" spans="1:30" ht="21" customHeight="1">
      <c r="A44" s="78"/>
      <c r="B44" s="79"/>
      <c r="C44" s="80"/>
      <c r="D44" s="80"/>
      <c r="E44" s="80"/>
      <c r="F44" s="80"/>
      <c r="G44" s="81"/>
      <c r="H44" s="81"/>
      <c r="I44" s="81"/>
      <c r="J44" s="81"/>
      <c r="K44" s="81"/>
      <c r="L44" s="81"/>
      <c r="M44" s="81"/>
      <c r="N44" s="82"/>
      <c r="O44" s="82"/>
      <c r="P44" s="82"/>
      <c r="Q44" s="82"/>
      <c r="R44" s="82"/>
      <c r="S44" s="82"/>
      <c r="T44" s="83"/>
      <c r="U44" s="83"/>
      <c r="V44" s="83"/>
      <c r="W44" s="83"/>
      <c r="X44" s="84"/>
      <c r="Y44" s="84"/>
      <c r="Z44" s="84"/>
      <c r="AA44" s="84"/>
      <c r="AB44" s="84"/>
      <c r="AC44" s="85"/>
      <c r="AD44" s="69"/>
    </row>
    <row r="45" spans="1:30" ht="21" customHeight="1">
      <c r="A45" s="78"/>
      <c r="B45" s="79"/>
      <c r="C45" s="80"/>
      <c r="D45" s="80"/>
      <c r="E45" s="80"/>
      <c r="F45" s="80"/>
      <c r="G45" s="81"/>
      <c r="H45" s="81"/>
      <c r="I45" s="81"/>
      <c r="J45" s="81"/>
      <c r="K45" s="81"/>
      <c r="L45" s="81"/>
      <c r="M45" s="81"/>
      <c r="N45" s="82"/>
      <c r="O45" s="82"/>
      <c r="P45" s="82"/>
      <c r="Q45" s="82"/>
      <c r="R45" s="82"/>
      <c r="S45" s="82"/>
      <c r="T45" s="83"/>
      <c r="U45" s="83"/>
      <c r="V45" s="83"/>
      <c r="W45" s="83"/>
      <c r="X45" s="84"/>
      <c r="Y45" s="84"/>
      <c r="Z45" s="84"/>
      <c r="AA45" s="84"/>
      <c r="AB45" s="84"/>
      <c r="AC45" s="85"/>
      <c r="AD45" s="69"/>
    </row>
    <row r="46" spans="1:30" ht="21" customHeight="1">
      <c r="A46" s="78"/>
      <c r="B46" s="79"/>
      <c r="C46" s="80"/>
      <c r="D46" s="80"/>
      <c r="E46" s="80"/>
      <c r="F46" s="80"/>
      <c r="G46" s="81"/>
      <c r="H46" s="81"/>
      <c r="I46" s="81"/>
      <c r="J46" s="81"/>
      <c r="K46" s="81"/>
      <c r="L46" s="81"/>
      <c r="M46" s="81"/>
      <c r="N46" s="82"/>
      <c r="O46" s="82"/>
      <c r="P46" s="82"/>
      <c r="Q46" s="82"/>
      <c r="R46" s="82"/>
      <c r="S46" s="82"/>
      <c r="T46" s="83"/>
      <c r="U46" s="83"/>
      <c r="V46" s="83"/>
      <c r="W46" s="83"/>
      <c r="X46" s="84"/>
      <c r="Y46" s="84"/>
      <c r="Z46" s="84"/>
      <c r="AA46" s="84"/>
      <c r="AB46" s="84"/>
      <c r="AC46" s="85"/>
      <c r="AD46" s="69"/>
    </row>
    <row r="47" spans="1:30" ht="21" customHeight="1">
      <c r="A47" s="78"/>
      <c r="B47" s="79"/>
      <c r="C47" s="80"/>
      <c r="D47" s="80"/>
      <c r="E47" s="80"/>
      <c r="F47" s="80"/>
      <c r="G47" s="81"/>
      <c r="H47" s="81"/>
      <c r="I47" s="81"/>
      <c r="J47" s="81"/>
      <c r="K47" s="81"/>
      <c r="L47" s="81"/>
      <c r="M47" s="81"/>
      <c r="N47" s="82"/>
      <c r="O47" s="82"/>
      <c r="P47" s="82"/>
      <c r="Q47" s="82"/>
      <c r="R47" s="82"/>
      <c r="S47" s="82"/>
      <c r="T47" s="83"/>
      <c r="U47" s="83"/>
      <c r="V47" s="83"/>
      <c r="W47" s="83"/>
      <c r="X47" s="84"/>
      <c r="Y47" s="84"/>
      <c r="Z47" s="84"/>
      <c r="AA47" s="84"/>
      <c r="AB47" s="84"/>
      <c r="AC47" s="85"/>
      <c r="AD47" s="69"/>
    </row>
    <row r="48" spans="1:30" ht="21" customHeight="1">
      <c r="A48" s="78"/>
      <c r="B48" s="79"/>
      <c r="C48" s="80"/>
      <c r="D48" s="80"/>
      <c r="E48" s="80"/>
      <c r="F48" s="80"/>
      <c r="G48" s="81"/>
      <c r="H48" s="81"/>
      <c r="I48" s="81"/>
      <c r="J48" s="81"/>
      <c r="K48" s="81"/>
      <c r="L48" s="81"/>
      <c r="M48" s="81"/>
      <c r="N48" s="82"/>
      <c r="O48" s="82"/>
      <c r="P48" s="82"/>
      <c r="Q48" s="82"/>
      <c r="R48" s="82"/>
      <c r="S48" s="82"/>
      <c r="T48" s="83"/>
      <c r="U48" s="83"/>
      <c r="V48" s="83"/>
      <c r="W48" s="83"/>
      <c r="X48" s="84"/>
      <c r="Y48" s="84"/>
      <c r="Z48" s="84"/>
      <c r="AA48" s="84"/>
      <c r="AB48" s="84"/>
      <c r="AC48" s="85"/>
      <c r="AD48" s="69"/>
    </row>
    <row r="49" spans="1:30" ht="21" customHeight="1">
      <c r="A49" s="78"/>
      <c r="B49" s="79"/>
      <c r="C49" s="80"/>
      <c r="D49" s="80"/>
      <c r="E49" s="80"/>
      <c r="F49" s="80"/>
      <c r="G49" s="81"/>
      <c r="H49" s="81"/>
      <c r="I49" s="81"/>
      <c r="J49" s="81"/>
      <c r="K49" s="81"/>
      <c r="L49" s="81"/>
      <c r="M49" s="81"/>
      <c r="N49" s="82"/>
      <c r="O49" s="82"/>
      <c r="P49" s="82"/>
      <c r="Q49" s="82"/>
      <c r="R49" s="82"/>
      <c r="S49" s="82"/>
      <c r="T49" s="83"/>
      <c r="U49" s="83"/>
      <c r="V49" s="83"/>
      <c r="W49" s="83"/>
      <c r="X49" s="84"/>
      <c r="Y49" s="84"/>
      <c r="Z49" s="84"/>
      <c r="AA49" s="84"/>
      <c r="AB49" s="84"/>
      <c r="AC49" s="85"/>
      <c r="AD49" s="69"/>
    </row>
    <row r="50" spans="1:30" ht="21" customHeight="1">
      <c r="A50" s="78"/>
      <c r="B50" s="79"/>
      <c r="C50" s="80"/>
      <c r="D50" s="80"/>
      <c r="E50" s="80"/>
      <c r="F50" s="80"/>
      <c r="G50" s="81"/>
      <c r="H50" s="81"/>
      <c r="I50" s="81"/>
      <c r="J50" s="81"/>
      <c r="K50" s="81"/>
      <c r="L50" s="81"/>
      <c r="M50" s="81"/>
      <c r="N50" s="82"/>
      <c r="O50" s="82"/>
      <c r="P50" s="82"/>
      <c r="Q50" s="82"/>
      <c r="R50" s="82"/>
      <c r="S50" s="82"/>
      <c r="T50" s="83"/>
      <c r="U50" s="83"/>
      <c r="V50" s="83"/>
      <c r="W50" s="83"/>
      <c r="X50" s="84"/>
      <c r="Y50" s="84"/>
      <c r="Z50" s="84"/>
      <c r="AA50" s="84"/>
      <c r="AB50" s="84"/>
      <c r="AC50" s="85"/>
      <c r="AD50" s="69"/>
    </row>
    <row r="51" spans="1:30" ht="21" customHeight="1">
      <c r="A51" s="78"/>
      <c r="B51" s="79"/>
      <c r="C51" s="80"/>
      <c r="D51" s="80"/>
      <c r="E51" s="80"/>
      <c r="F51" s="80"/>
      <c r="G51" s="81"/>
      <c r="H51" s="81"/>
      <c r="I51" s="81"/>
      <c r="J51" s="81"/>
      <c r="K51" s="81"/>
      <c r="L51" s="81"/>
      <c r="M51" s="81"/>
      <c r="N51" s="82"/>
      <c r="O51" s="82"/>
      <c r="P51" s="82"/>
      <c r="Q51" s="82"/>
      <c r="R51" s="82"/>
      <c r="S51" s="82"/>
      <c r="T51" s="83"/>
      <c r="U51" s="83"/>
      <c r="V51" s="83"/>
      <c r="W51" s="83"/>
      <c r="X51" s="84"/>
      <c r="Y51" s="84"/>
      <c r="Z51" s="84"/>
      <c r="AA51" s="84"/>
      <c r="AB51" s="84"/>
      <c r="AC51" s="85"/>
      <c r="AD51" s="69"/>
    </row>
    <row r="52" spans="1:30" ht="21" customHeight="1">
      <c r="A52" s="78"/>
      <c r="B52" s="79"/>
      <c r="C52" s="80"/>
      <c r="D52" s="80"/>
      <c r="E52" s="80"/>
      <c r="F52" s="80"/>
      <c r="G52" s="81"/>
      <c r="H52" s="81"/>
      <c r="I52" s="81"/>
      <c r="J52" s="81"/>
      <c r="K52" s="81"/>
      <c r="L52" s="81"/>
      <c r="M52" s="81"/>
      <c r="N52" s="82"/>
      <c r="O52" s="82"/>
      <c r="P52" s="82"/>
      <c r="Q52" s="82"/>
      <c r="R52" s="82"/>
      <c r="S52" s="82"/>
      <c r="T52" s="83"/>
      <c r="U52" s="83"/>
      <c r="V52" s="83"/>
      <c r="W52" s="83"/>
      <c r="X52" s="84"/>
      <c r="Y52" s="84"/>
      <c r="Z52" s="84"/>
      <c r="AA52" s="84"/>
      <c r="AB52" s="84"/>
      <c r="AC52" s="85"/>
      <c r="AD52" s="69"/>
    </row>
    <row r="53" spans="1:30" ht="21" customHeight="1">
      <c r="A53" s="78"/>
      <c r="B53" s="79"/>
      <c r="C53" s="80"/>
      <c r="D53" s="80"/>
      <c r="E53" s="80"/>
      <c r="F53" s="80"/>
      <c r="G53" s="81"/>
      <c r="H53" s="81"/>
      <c r="I53" s="81"/>
      <c r="J53" s="81"/>
      <c r="K53" s="81"/>
      <c r="L53" s="81"/>
      <c r="M53" s="81"/>
      <c r="N53" s="82"/>
      <c r="O53" s="82"/>
      <c r="P53" s="82"/>
      <c r="Q53" s="82"/>
      <c r="R53" s="82"/>
      <c r="S53" s="82"/>
      <c r="T53" s="83"/>
      <c r="U53" s="83"/>
      <c r="V53" s="83"/>
      <c r="W53" s="83"/>
      <c r="X53" s="84"/>
      <c r="Y53" s="84"/>
      <c r="Z53" s="84"/>
      <c r="AA53" s="84"/>
      <c r="AB53" s="84"/>
      <c r="AC53" s="85"/>
      <c r="AD53" s="69"/>
    </row>
    <row r="54" spans="1:30" ht="21" customHeight="1">
      <c r="A54" s="78"/>
      <c r="B54" s="79"/>
      <c r="C54" s="80"/>
      <c r="D54" s="80"/>
      <c r="E54" s="80"/>
      <c r="F54" s="80"/>
      <c r="G54" s="81"/>
      <c r="H54" s="81"/>
      <c r="I54" s="81"/>
      <c r="J54" s="81"/>
      <c r="K54" s="81"/>
      <c r="L54" s="81"/>
      <c r="M54" s="81"/>
      <c r="N54" s="82"/>
      <c r="O54" s="82"/>
      <c r="P54" s="82"/>
      <c r="Q54" s="82"/>
      <c r="R54" s="82"/>
      <c r="S54" s="82"/>
      <c r="T54" s="83"/>
      <c r="U54" s="83"/>
      <c r="V54" s="83"/>
      <c r="W54" s="83"/>
      <c r="X54" s="84"/>
      <c r="Y54" s="84"/>
      <c r="Z54" s="84"/>
      <c r="AA54" s="84"/>
      <c r="AB54" s="84"/>
      <c r="AC54" s="85"/>
      <c r="AD54" s="69"/>
    </row>
    <row r="55" spans="1:30" ht="21" customHeight="1">
      <c r="A55" s="78"/>
      <c r="B55" s="79"/>
      <c r="C55" s="80"/>
      <c r="D55" s="80"/>
      <c r="E55" s="80"/>
      <c r="F55" s="80"/>
      <c r="G55" s="81"/>
      <c r="H55" s="81"/>
      <c r="I55" s="81"/>
      <c r="J55" s="81"/>
      <c r="K55" s="81"/>
      <c r="L55" s="81"/>
      <c r="M55" s="81"/>
      <c r="N55" s="82"/>
      <c r="O55" s="82"/>
      <c r="P55" s="82"/>
      <c r="Q55" s="82"/>
      <c r="R55" s="82"/>
      <c r="S55" s="82"/>
      <c r="T55" s="83"/>
      <c r="U55" s="83"/>
      <c r="V55" s="83"/>
      <c r="W55" s="83"/>
      <c r="X55" s="84"/>
      <c r="Y55" s="84"/>
      <c r="Z55" s="84"/>
      <c r="AA55" s="84"/>
      <c r="AB55" s="84"/>
      <c r="AC55" s="85"/>
      <c r="AD55" s="69"/>
    </row>
    <row r="56" spans="1:30" ht="21" customHeight="1">
      <c r="A56" s="78"/>
      <c r="B56" s="79"/>
      <c r="C56" s="80"/>
      <c r="D56" s="80"/>
      <c r="E56" s="80"/>
      <c r="F56" s="80"/>
      <c r="G56" s="81"/>
      <c r="H56" s="81"/>
      <c r="I56" s="81"/>
      <c r="J56" s="81"/>
      <c r="K56" s="81"/>
      <c r="L56" s="81"/>
      <c r="M56" s="81"/>
      <c r="N56" s="82"/>
      <c r="O56" s="82"/>
      <c r="P56" s="82"/>
      <c r="Q56" s="82"/>
      <c r="R56" s="82"/>
      <c r="S56" s="82"/>
      <c r="T56" s="83"/>
      <c r="U56" s="83"/>
      <c r="V56" s="83"/>
      <c r="W56" s="83"/>
      <c r="X56" s="84"/>
      <c r="Y56" s="84"/>
      <c r="Z56" s="84"/>
      <c r="AA56" s="84"/>
      <c r="AB56" s="84"/>
      <c r="AC56" s="85"/>
      <c r="AD56" s="69"/>
    </row>
    <row r="57" spans="1:30" ht="21" customHeight="1">
      <c r="A57" s="78"/>
      <c r="B57" s="79"/>
      <c r="C57" s="80"/>
      <c r="D57" s="80"/>
      <c r="E57" s="80"/>
      <c r="F57" s="80"/>
      <c r="G57" s="81"/>
      <c r="H57" s="81"/>
      <c r="I57" s="81"/>
      <c r="J57" s="81"/>
      <c r="K57" s="81"/>
      <c r="L57" s="81"/>
      <c r="M57" s="81"/>
      <c r="N57" s="82"/>
      <c r="O57" s="82"/>
      <c r="P57" s="82"/>
      <c r="Q57" s="82"/>
      <c r="R57" s="82"/>
      <c r="S57" s="82"/>
      <c r="T57" s="83"/>
      <c r="U57" s="83"/>
      <c r="V57" s="83"/>
      <c r="W57" s="83"/>
      <c r="X57" s="84"/>
      <c r="Y57" s="84"/>
      <c r="Z57" s="84"/>
      <c r="AA57" s="84"/>
      <c r="AB57" s="84"/>
      <c r="AC57" s="85"/>
      <c r="AD57" s="69"/>
    </row>
    <row r="58" spans="1:30" ht="21" customHeight="1">
      <c r="A58" s="78"/>
      <c r="B58" s="79"/>
      <c r="C58" s="80"/>
      <c r="D58" s="80"/>
      <c r="E58" s="80"/>
      <c r="F58" s="80"/>
      <c r="G58" s="81"/>
      <c r="H58" s="81"/>
      <c r="I58" s="81"/>
      <c r="J58" s="81"/>
      <c r="K58" s="81"/>
      <c r="L58" s="81"/>
      <c r="M58" s="81"/>
      <c r="N58" s="82"/>
      <c r="O58" s="82"/>
      <c r="P58" s="82"/>
      <c r="Q58" s="82"/>
      <c r="R58" s="82"/>
      <c r="S58" s="82"/>
      <c r="T58" s="83"/>
      <c r="U58" s="83"/>
      <c r="V58" s="83"/>
      <c r="W58" s="83"/>
      <c r="X58" s="84"/>
      <c r="Y58" s="84"/>
      <c r="Z58" s="84"/>
      <c r="AA58" s="84"/>
      <c r="AB58" s="84"/>
      <c r="AC58" s="85"/>
      <c r="AD58" s="69"/>
    </row>
    <row r="59" spans="1:30" ht="21" customHeight="1">
      <c r="A59" s="78"/>
      <c r="B59" s="79"/>
      <c r="C59" s="80"/>
      <c r="D59" s="80"/>
      <c r="E59" s="80"/>
      <c r="F59" s="80"/>
      <c r="G59" s="81"/>
      <c r="H59" s="81"/>
      <c r="I59" s="81"/>
      <c r="J59" s="81"/>
      <c r="K59" s="81"/>
      <c r="L59" s="81"/>
      <c r="M59" s="81"/>
      <c r="N59" s="82"/>
      <c r="O59" s="82"/>
      <c r="P59" s="82"/>
      <c r="Q59" s="82"/>
      <c r="R59" s="82"/>
      <c r="S59" s="82"/>
      <c r="T59" s="83"/>
      <c r="U59" s="83"/>
      <c r="V59" s="83"/>
      <c r="W59" s="83"/>
      <c r="X59" s="84"/>
      <c r="Y59" s="84"/>
      <c r="Z59" s="84"/>
      <c r="AA59" s="84"/>
      <c r="AB59" s="84"/>
      <c r="AC59" s="85"/>
      <c r="AD59" s="69"/>
    </row>
    <row r="60" spans="1:30" ht="21" customHeight="1">
      <c r="A60" s="78"/>
      <c r="B60" s="79"/>
      <c r="C60" s="80"/>
      <c r="D60" s="80"/>
      <c r="E60" s="80"/>
      <c r="F60" s="80"/>
      <c r="G60" s="81"/>
      <c r="H60" s="81"/>
      <c r="I60" s="81"/>
      <c r="J60" s="81"/>
      <c r="K60" s="81"/>
      <c r="L60" s="81"/>
      <c r="M60" s="81"/>
      <c r="N60" s="82"/>
      <c r="O60" s="82"/>
      <c r="P60" s="82"/>
      <c r="Q60" s="82"/>
      <c r="R60" s="82"/>
      <c r="S60" s="82"/>
      <c r="T60" s="83"/>
      <c r="U60" s="83"/>
      <c r="V60" s="83"/>
      <c r="W60" s="83"/>
      <c r="X60" s="84"/>
      <c r="Y60" s="84"/>
      <c r="Z60" s="84"/>
      <c r="AA60" s="84"/>
      <c r="AB60" s="84"/>
      <c r="AC60" s="85"/>
      <c r="AD60" s="69"/>
    </row>
    <row r="61" spans="1:30" ht="21" customHeight="1">
      <c r="A61" s="78"/>
      <c r="B61" s="79"/>
      <c r="C61" s="80"/>
      <c r="D61" s="80"/>
      <c r="E61" s="80"/>
      <c r="F61" s="80"/>
      <c r="G61" s="81"/>
      <c r="H61" s="81"/>
      <c r="I61" s="81"/>
      <c r="J61" s="81"/>
      <c r="K61" s="81"/>
      <c r="L61" s="81"/>
      <c r="M61" s="81"/>
      <c r="N61" s="82"/>
      <c r="O61" s="82"/>
      <c r="P61" s="82"/>
      <c r="Q61" s="82"/>
      <c r="R61" s="82"/>
      <c r="S61" s="82"/>
      <c r="T61" s="83"/>
      <c r="U61" s="83"/>
      <c r="V61" s="83"/>
      <c r="W61" s="83"/>
      <c r="X61" s="84"/>
      <c r="Y61" s="84"/>
      <c r="Z61" s="84"/>
      <c r="AA61" s="84"/>
      <c r="AB61" s="84"/>
      <c r="AC61" s="85"/>
      <c r="AD61" s="69"/>
    </row>
    <row r="62" spans="1:30" ht="21" customHeight="1">
      <c r="A62" s="78"/>
      <c r="B62" s="79"/>
      <c r="C62" s="80"/>
      <c r="D62" s="80"/>
      <c r="E62" s="80"/>
      <c r="F62" s="80"/>
      <c r="G62" s="81"/>
      <c r="H62" s="81"/>
      <c r="I62" s="81"/>
      <c r="J62" s="81"/>
      <c r="K62" s="81"/>
      <c r="L62" s="81"/>
      <c r="M62" s="81"/>
      <c r="N62" s="82"/>
      <c r="O62" s="82"/>
      <c r="P62" s="82"/>
      <c r="Q62" s="82"/>
      <c r="R62" s="82"/>
      <c r="S62" s="82"/>
      <c r="T62" s="83"/>
      <c r="U62" s="83"/>
      <c r="V62" s="83"/>
      <c r="W62" s="83"/>
      <c r="X62" s="84"/>
      <c r="Y62" s="84"/>
      <c r="Z62" s="84"/>
      <c r="AA62" s="84"/>
      <c r="AB62" s="84"/>
      <c r="AC62" s="85"/>
      <c r="AD62" s="69"/>
    </row>
    <row r="63" spans="1:30" ht="21" customHeight="1">
      <c r="A63" s="78"/>
      <c r="B63" s="79"/>
      <c r="C63" s="80"/>
      <c r="D63" s="80"/>
      <c r="E63" s="80"/>
      <c r="F63" s="80"/>
      <c r="G63" s="81"/>
      <c r="H63" s="81"/>
      <c r="I63" s="81"/>
      <c r="J63" s="81"/>
      <c r="K63" s="81"/>
      <c r="L63" s="81"/>
      <c r="M63" s="81"/>
      <c r="N63" s="82"/>
      <c r="O63" s="82"/>
      <c r="P63" s="82"/>
      <c r="Q63" s="82"/>
      <c r="R63" s="82"/>
      <c r="S63" s="82"/>
      <c r="T63" s="83"/>
      <c r="U63" s="83"/>
      <c r="V63" s="83"/>
      <c r="W63" s="83"/>
      <c r="X63" s="84"/>
      <c r="Y63" s="84"/>
      <c r="Z63" s="84"/>
      <c r="AA63" s="84"/>
      <c r="AB63" s="84"/>
      <c r="AC63" s="85"/>
      <c r="AD63" s="69"/>
    </row>
    <row r="64" spans="1:30" ht="21" customHeight="1">
      <c r="A64" s="78"/>
      <c r="B64" s="79"/>
      <c r="C64" s="80"/>
      <c r="D64" s="80"/>
      <c r="E64" s="80"/>
      <c r="F64" s="80"/>
      <c r="G64" s="81"/>
      <c r="H64" s="81"/>
      <c r="I64" s="81"/>
      <c r="J64" s="81"/>
      <c r="K64" s="81"/>
      <c r="L64" s="81"/>
      <c r="M64" s="81"/>
      <c r="N64" s="82"/>
      <c r="O64" s="82"/>
      <c r="P64" s="82"/>
      <c r="Q64" s="82"/>
      <c r="R64" s="82"/>
      <c r="S64" s="82"/>
      <c r="T64" s="83"/>
      <c r="U64" s="83"/>
      <c r="V64" s="83"/>
      <c r="W64" s="83"/>
      <c r="X64" s="84"/>
      <c r="Y64" s="84"/>
      <c r="Z64" s="84"/>
      <c r="AA64" s="84"/>
      <c r="AB64" s="84"/>
      <c r="AC64" s="85"/>
      <c r="AD64" s="69"/>
    </row>
    <row r="65" spans="1:30" ht="21" customHeight="1">
      <c r="A65" s="78"/>
      <c r="B65" s="79"/>
      <c r="C65" s="80"/>
      <c r="D65" s="80"/>
      <c r="E65" s="80"/>
      <c r="F65" s="80"/>
      <c r="G65" s="81"/>
      <c r="H65" s="81"/>
      <c r="I65" s="81"/>
      <c r="J65" s="81"/>
      <c r="K65" s="81"/>
      <c r="L65" s="81"/>
      <c r="M65" s="81"/>
      <c r="N65" s="82"/>
      <c r="O65" s="82"/>
      <c r="P65" s="82"/>
      <c r="Q65" s="82"/>
      <c r="R65" s="82"/>
      <c r="S65" s="82"/>
      <c r="T65" s="83"/>
      <c r="U65" s="83"/>
      <c r="V65" s="83"/>
      <c r="W65" s="83"/>
      <c r="X65" s="84"/>
      <c r="Y65" s="84"/>
      <c r="Z65" s="84"/>
      <c r="AA65" s="84"/>
      <c r="AB65" s="84"/>
      <c r="AC65" s="85"/>
      <c r="AD65" s="69"/>
    </row>
    <row r="66" spans="1:30" ht="21" customHeight="1">
      <c r="A66" s="78"/>
      <c r="B66" s="79"/>
      <c r="C66" s="80"/>
      <c r="D66" s="80"/>
      <c r="E66" s="80"/>
      <c r="F66" s="80"/>
      <c r="G66" s="81"/>
      <c r="H66" s="81"/>
      <c r="I66" s="81"/>
      <c r="J66" s="81"/>
      <c r="K66" s="81"/>
      <c r="L66" s="81"/>
      <c r="M66" s="81"/>
      <c r="N66" s="82"/>
      <c r="O66" s="82"/>
      <c r="P66" s="82"/>
      <c r="Q66" s="82"/>
      <c r="R66" s="82"/>
      <c r="S66" s="82"/>
      <c r="T66" s="83"/>
      <c r="U66" s="83"/>
      <c r="V66" s="83"/>
      <c r="W66" s="83"/>
      <c r="X66" s="84"/>
      <c r="Y66" s="84"/>
      <c r="Z66" s="84"/>
      <c r="AA66" s="84"/>
      <c r="AB66" s="84"/>
      <c r="AC66" s="85"/>
      <c r="AD66" s="69"/>
    </row>
    <row r="67" spans="1:30" ht="21" customHeight="1">
      <c r="A67" s="78"/>
      <c r="B67" s="79"/>
      <c r="C67" s="80"/>
      <c r="D67" s="80"/>
      <c r="E67" s="80"/>
      <c r="F67" s="80"/>
      <c r="G67" s="81"/>
      <c r="H67" s="81"/>
      <c r="I67" s="81"/>
      <c r="J67" s="81"/>
      <c r="K67" s="81"/>
      <c r="L67" s="81"/>
      <c r="M67" s="81"/>
      <c r="N67" s="82"/>
      <c r="O67" s="82"/>
      <c r="P67" s="82"/>
      <c r="Q67" s="82"/>
      <c r="R67" s="82"/>
      <c r="S67" s="82"/>
      <c r="T67" s="83"/>
      <c r="U67" s="83"/>
      <c r="V67" s="83"/>
      <c r="W67" s="83"/>
      <c r="X67" s="84"/>
      <c r="Y67" s="84"/>
      <c r="Z67" s="84"/>
      <c r="AA67" s="84"/>
      <c r="AB67" s="84"/>
      <c r="AC67" s="85"/>
      <c r="AD67" s="69"/>
    </row>
    <row r="68" spans="1:30" ht="21" customHeight="1">
      <c r="A68" s="78"/>
      <c r="B68" s="79"/>
      <c r="C68" s="80"/>
      <c r="D68" s="80"/>
      <c r="E68" s="80"/>
      <c r="F68" s="80"/>
      <c r="G68" s="81"/>
      <c r="H68" s="81"/>
      <c r="I68" s="81"/>
      <c r="J68" s="81"/>
      <c r="K68" s="81"/>
      <c r="L68" s="81"/>
      <c r="M68" s="81"/>
      <c r="N68" s="82"/>
      <c r="O68" s="82"/>
      <c r="P68" s="82"/>
      <c r="Q68" s="82"/>
      <c r="R68" s="82"/>
      <c r="S68" s="82"/>
      <c r="T68" s="83"/>
      <c r="U68" s="83"/>
      <c r="V68" s="83"/>
      <c r="W68" s="83"/>
      <c r="X68" s="84"/>
      <c r="Y68" s="84"/>
      <c r="Z68" s="84"/>
      <c r="AA68" s="84"/>
      <c r="AB68" s="84"/>
      <c r="AC68" s="85"/>
      <c r="AD68" s="69"/>
    </row>
    <row r="69" spans="1:30" ht="21" customHeight="1">
      <c r="A69" s="78"/>
      <c r="B69" s="79"/>
      <c r="C69" s="80"/>
      <c r="D69" s="80"/>
      <c r="E69" s="80"/>
      <c r="F69" s="80"/>
      <c r="G69" s="81"/>
      <c r="H69" s="81"/>
      <c r="I69" s="81"/>
      <c r="J69" s="81"/>
      <c r="K69" s="81"/>
      <c r="L69" s="81"/>
      <c r="M69" s="81"/>
      <c r="N69" s="82"/>
      <c r="O69" s="82"/>
      <c r="P69" s="82"/>
      <c r="Q69" s="82"/>
      <c r="R69" s="82"/>
      <c r="S69" s="82"/>
      <c r="T69" s="83"/>
      <c r="U69" s="83"/>
      <c r="V69" s="83"/>
      <c r="W69" s="83"/>
      <c r="X69" s="84"/>
      <c r="Y69" s="84"/>
      <c r="Z69" s="84"/>
      <c r="AA69" s="84"/>
      <c r="AB69" s="84"/>
      <c r="AC69" s="85"/>
      <c r="AD69" s="69"/>
    </row>
    <row r="70" spans="1:30" ht="21" customHeight="1">
      <c r="A70" s="78"/>
      <c r="B70" s="79"/>
      <c r="C70" s="80"/>
      <c r="D70" s="80"/>
      <c r="E70" s="80"/>
      <c r="F70" s="80"/>
      <c r="G70" s="81"/>
      <c r="H70" s="81"/>
      <c r="I70" s="81"/>
      <c r="J70" s="81"/>
      <c r="K70" s="81"/>
      <c r="L70" s="81"/>
      <c r="M70" s="81"/>
      <c r="N70" s="82"/>
      <c r="O70" s="82"/>
      <c r="P70" s="82"/>
      <c r="Q70" s="82"/>
      <c r="R70" s="82"/>
      <c r="S70" s="82"/>
      <c r="T70" s="83"/>
      <c r="U70" s="83"/>
      <c r="V70" s="83"/>
      <c r="W70" s="83"/>
      <c r="X70" s="84"/>
      <c r="Y70" s="84"/>
      <c r="Z70" s="84"/>
      <c r="AA70" s="84"/>
      <c r="AB70" s="84"/>
      <c r="AC70" s="85"/>
      <c r="AD70" s="69"/>
    </row>
    <row r="71" spans="1:30" ht="21" customHeight="1">
      <c r="A71" s="78"/>
      <c r="B71" s="79"/>
      <c r="C71" s="80"/>
      <c r="D71" s="80"/>
      <c r="E71" s="80"/>
      <c r="F71" s="80"/>
      <c r="G71" s="81"/>
      <c r="H71" s="81"/>
      <c r="I71" s="81"/>
      <c r="J71" s="81"/>
      <c r="K71" s="81"/>
      <c r="L71" s="81"/>
      <c r="M71" s="81"/>
      <c r="N71" s="82"/>
      <c r="O71" s="82"/>
      <c r="P71" s="82"/>
      <c r="Q71" s="82"/>
      <c r="R71" s="82"/>
      <c r="S71" s="82"/>
      <c r="T71" s="83"/>
      <c r="U71" s="83"/>
      <c r="V71" s="83"/>
      <c r="W71" s="83"/>
      <c r="X71" s="84"/>
      <c r="Y71" s="84"/>
      <c r="Z71" s="84"/>
      <c r="AA71" s="84"/>
      <c r="AB71" s="84"/>
      <c r="AC71" s="85"/>
      <c r="AD71" s="69"/>
    </row>
    <row r="72" spans="1:30" ht="21" customHeight="1">
      <c r="A72" s="78"/>
      <c r="B72" s="79"/>
      <c r="C72" s="80"/>
      <c r="D72" s="80"/>
      <c r="E72" s="80"/>
      <c r="F72" s="80"/>
      <c r="G72" s="81"/>
      <c r="H72" s="81"/>
      <c r="I72" s="81"/>
      <c r="J72" s="81"/>
      <c r="K72" s="81"/>
      <c r="L72" s="81"/>
      <c r="M72" s="81"/>
      <c r="N72" s="82"/>
      <c r="O72" s="82"/>
      <c r="P72" s="82"/>
      <c r="Q72" s="82"/>
      <c r="R72" s="82"/>
      <c r="S72" s="82"/>
      <c r="T72" s="83"/>
      <c r="U72" s="83"/>
      <c r="V72" s="83"/>
      <c r="W72" s="83"/>
      <c r="X72" s="84"/>
      <c r="Y72" s="84"/>
      <c r="Z72" s="84"/>
      <c r="AA72" s="84"/>
      <c r="AB72" s="84"/>
      <c r="AC72" s="85"/>
      <c r="AD72" s="69"/>
    </row>
    <row r="73" spans="1:30" ht="21" customHeight="1">
      <c r="A73" s="78"/>
      <c r="B73" s="79"/>
      <c r="C73" s="80"/>
      <c r="D73" s="80"/>
      <c r="E73" s="80"/>
      <c r="F73" s="80"/>
      <c r="G73" s="81"/>
      <c r="H73" s="81"/>
      <c r="I73" s="81"/>
      <c r="J73" s="81"/>
      <c r="K73" s="81"/>
      <c r="L73" s="81"/>
      <c r="M73" s="81"/>
      <c r="N73" s="82"/>
      <c r="O73" s="82"/>
      <c r="P73" s="82"/>
      <c r="Q73" s="82"/>
      <c r="R73" s="82"/>
      <c r="S73" s="82"/>
      <c r="T73" s="83"/>
      <c r="U73" s="83"/>
      <c r="V73" s="83"/>
      <c r="W73" s="83"/>
      <c r="X73" s="84"/>
      <c r="Y73" s="84"/>
      <c r="Z73" s="84"/>
      <c r="AA73" s="84"/>
      <c r="AB73" s="84"/>
      <c r="AC73" s="85"/>
      <c r="AD73" s="69"/>
    </row>
    <row r="74" spans="1:30" ht="21" customHeight="1" thickBot="1">
      <c r="A74" s="86"/>
      <c r="B74" s="87"/>
      <c r="C74" s="88"/>
      <c r="D74" s="88"/>
      <c r="E74" s="88"/>
      <c r="F74" s="88"/>
      <c r="G74" s="89"/>
      <c r="H74" s="89"/>
      <c r="I74" s="89"/>
      <c r="J74" s="89"/>
      <c r="K74" s="89"/>
      <c r="L74" s="89"/>
      <c r="M74" s="89"/>
      <c r="N74" s="90"/>
      <c r="O74" s="90"/>
      <c r="P74" s="90"/>
      <c r="Q74" s="90"/>
      <c r="R74" s="90"/>
      <c r="S74" s="90"/>
      <c r="T74" s="91"/>
      <c r="U74" s="91"/>
      <c r="V74" s="91"/>
      <c r="W74" s="91"/>
      <c r="X74" s="92"/>
      <c r="Y74" s="92"/>
      <c r="Z74" s="92"/>
      <c r="AA74" s="92"/>
      <c r="AB74" s="92"/>
      <c r="AC74" s="93"/>
      <c r="AD74" s="69"/>
    </row>
    <row r="75" spans="1:30" s="95" customFormat="1" ht="24.95" customHeight="1">
      <c r="A75" s="629" t="s">
        <v>424</v>
      </c>
      <c r="B75" s="630"/>
      <c r="C75" s="100" t="s">
        <v>430</v>
      </c>
      <c r="D75" s="623" t="s">
        <v>430</v>
      </c>
      <c r="E75" s="625"/>
      <c r="F75" s="626"/>
      <c r="G75" s="623" t="s">
        <v>430</v>
      </c>
      <c r="H75" s="625"/>
      <c r="I75" s="626"/>
      <c r="J75" s="623" t="s">
        <v>430</v>
      </c>
      <c r="K75" s="626"/>
      <c r="L75" s="623" t="s">
        <v>430</v>
      </c>
      <c r="M75" s="626"/>
      <c r="N75" s="623" t="s">
        <v>430</v>
      </c>
      <c r="O75" s="626"/>
      <c r="P75" s="623" t="s">
        <v>430</v>
      </c>
      <c r="Q75" s="626"/>
      <c r="R75" s="623" t="s">
        <v>430</v>
      </c>
      <c r="S75" s="626"/>
      <c r="T75" s="623" t="s">
        <v>430</v>
      </c>
      <c r="U75" s="626"/>
      <c r="V75" s="623" t="s">
        <v>430</v>
      </c>
      <c r="W75" s="626"/>
      <c r="X75" s="623" t="s">
        <v>430</v>
      </c>
      <c r="Y75" s="626"/>
      <c r="Z75" s="623" t="s">
        <v>430</v>
      </c>
      <c r="AA75" s="626"/>
      <c r="AB75" s="623" t="s">
        <v>430</v>
      </c>
      <c r="AC75" s="624"/>
      <c r="AD75" s="94"/>
    </row>
    <row r="76" spans="1:30" s="95" customFormat="1" ht="24.95" customHeight="1" thickBot="1">
      <c r="A76" s="631"/>
      <c r="B76" s="632"/>
      <c r="C76" s="101" t="s">
        <v>353</v>
      </c>
      <c r="D76" s="613" t="s">
        <v>353</v>
      </c>
      <c r="E76" s="633"/>
      <c r="F76" s="614"/>
      <c r="G76" s="613" t="str">
        <f>D76</f>
        <v>XX%</v>
      </c>
      <c r="H76" s="633"/>
      <c r="I76" s="614"/>
      <c r="J76" s="613" t="s">
        <v>353</v>
      </c>
      <c r="K76" s="614"/>
      <c r="L76" s="613" t="s">
        <v>353</v>
      </c>
      <c r="M76" s="614"/>
      <c r="N76" s="613" t="s">
        <v>353</v>
      </c>
      <c r="O76" s="614"/>
      <c r="P76" s="613" t="s">
        <v>353</v>
      </c>
      <c r="Q76" s="614"/>
      <c r="R76" s="613" t="s">
        <v>353</v>
      </c>
      <c r="S76" s="614"/>
      <c r="T76" s="613" t="s">
        <v>353</v>
      </c>
      <c r="U76" s="614"/>
      <c r="V76" s="613" t="s">
        <v>353</v>
      </c>
      <c r="W76" s="614"/>
      <c r="X76" s="613" t="s">
        <v>353</v>
      </c>
      <c r="Y76" s="614"/>
      <c r="Z76" s="613" t="s">
        <v>353</v>
      </c>
      <c r="AA76" s="614"/>
      <c r="AB76" s="613" t="s">
        <v>353</v>
      </c>
      <c r="AC76" s="627"/>
      <c r="AD76" s="146">
        <f>SUM(D76:AC76)</f>
        <v>0</v>
      </c>
    </row>
    <row r="77" spans="1:30" s="95" customFormat="1" ht="24.95" customHeight="1">
      <c r="A77" s="635" t="s">
        <v>425</v>
      </c>
      <c r="B77" s="636"/>
      <c r="C77" s="636"/>
      <c r="D77" s="605" t="str">
        <f>D75</f>
        <v>VALOR</v>
      </c>
      <c r="E77" s="634"/>
      <c r="F77" s="606"/>
      <c r="G77" s="605" t="str">
        <f>G75</f>
        <v>VALOR</v>
      </c>
      <c r="H77" s="634"/>
      <c r="I77" s="606"/>
      <c r="J77" s="605" t="s">
        <v>430</v>
      </c>
      <c r="K77" s="606"/>
      <c r="L77" s="605" t="s">
        <v>430</v>
      </c>
      <c r="M77" s="606"/>
      <c r="N77" s="605" t="s">
        <v>430</v>
      </c>
      <c r="O77" s="606"/>
      <c r="P77" s="605" t="s">
        <v>430</v>
      </c>
      <c r="Q77" s="606"/>
      <c r="R77" s="605" t="s">
        <v>430</v>
      </c>
      <c r="S77" s="606"/>
      <c r="T77" s="605" t="s">
        <v>430</v>
      </c>
      <c r="U77" s="606"/>
      <c r="V77" s="605" t="s">
        <v>430</v>
      </c>
      <c r="W77" s="606"/>
      <c r="X77" s="605" t="s">
        <v>430</v>
      </c>
      <c r="Y77" s="606"/>
      <c r="Z77" s="605" t="s">
        <v>430</v>
      </c>
      <c r="AA77" s="606"/>
      <c r="AB77" s="605" t="s">
        <v>430</v>
      </c>
      <c r="AC77" s="607"/>
    </row>
    <row r="78" spans="1:30" s="95" customFormat="1" ht="24.95" customHeight="1" thickBot="1">
      <c r="A78" s="637" t="s">
        <v>426</v>
      </c>
      <c r="B78" s="638"/>
      <c r="C78" s="638"/>
      <c r="D78" s="603" t="str">
        <f>D76</f>
        <v>XX%</v>
      </c>
      <c r="E78" s="628"/>
      <c r="F78" s="608"/>
      <c r="G78" s="603" t="str">
        <f>D76</f>
        <v>XX%</v>
      </c>
      <c r="H78" s="628"/>
      <c r="I78" s="608"/>
      <c r="J78" s="603" t="s">
        <v>353</v>
      </c>
      <c r="K78" s="608"/>
      <c r="L78" s="603" t="s">
        <v>353</v>
      </c>
      <c r="M78" s="608"/>
      <c r="N78" s="603" t="s">
        <v>353</v>
      </c>
      <c r="O78" s="608"/>
      <c r="P78" s="603" t="s">
        <v>353</v>
      </c>
      <c r="Q78" s="608"/>
      <c r="R78" s="603" t="s">
        <v>353</v>
      </c>
      <c r="S78" s="608"/>
      <c r="T78" s="603" t="s">
        <v>353</v>
      </c>
      <c r="U78" s="608"/>
      <c r="V78" s="603" t="s">
        <v>353</v>
      </c>
      <c r="W78" s="608"/>
      <c r="X78" s="603" t="s">
        <v>353</v>
      </c>
      <c r="Y78" s="608"/>
      <c r="Z78" s="603" t="s">
        <v>353</v>
      </c>
      <c r="AA78" s="608"/>
      <c r="AB78" s="603" t="s">
        <v>353</v>
      </c>
      <c r="AC78" s="604"/>
    </row>
    <row r="79" spans="1:30" ht="36" customHeight="1">
      <c r="A79" s="55" t="s">
        <v>427</v>
      </c>
      <c r="B79" s="96" t="e">
        <f>#REF!+100%</f>
        <v>#REF!</v>
      </c>
    </row>
    <row r="80" spans="1:30" ht="20.100000000000001" customHeight="1">
      <c r="B80" s="98"/>
    </row>
    <row r="81" spans="2:2" ht="20.100000000000001" customHeight="1">
      <c r="B81" s="98"/>
    </row>
    <row r="82" spans="2:2" ht="20.100000000000001" customHeight="1">
      <c r="B82" s="98"/>
    </row>
    <row r="83" spans="2:2" ht="20.100000000000001" customHeight="1">
      <c r="B83" s="98"/>
    </row>
    <row r="84" spans="2:2" ht="20.100000000000001" customHeight="1">
      <c r="B84" s="98"/>
    </row>
    <row r="85" spans="2:2" ht="20.100000000000001" customHeight="1">
      <c r="B85" s="98"/>
    </row>
    <row r="86" spans="2:2" ht="20.100000000000001" customHeight="1">
      <c r="B86" s="99"/>
    </row>
    <row r="87" spans="2:2" ht="20.100000000000001" customHeight="1">
      <c r="B87" s="99"/>
    </row>
    <row r="88" spans="2:2" ht="20.100000000000001" customHeight="1">
      <c r="B88" s="99"/>
    </row>
    <row r="89" spans="2:2" ht="20.100000000000001" customHeight="1">
      <c r="B89" s="99"/>
    </row>
    <row r="90" spans="2:2" ht="20.100000000000001" customHeight="1">
      <c r="B90" s="99"/>
    </row>
    <row r="91" spans="2:2" ht="20.100000000000001" customHeight="1">
      <c r="B91" s="99"/>
    </row>
    <row r="92" spans="2:2" ht="20.100000000000001" customHeight="1"/>
    <row r="93" spans="2:2" ht="20.100000000000001" customHeight="1"/>
    <row r="94" spans="2:2" ht="20.100000000000001" customHeight="1"/>
    <row r="95" spans="2:2" ht="20.100000000000001" customHeight="1"/>
  </sheetData>
  <mergeCells count="291">
    <mergeCell ref="AB78:AC78"/>
    <mergeCell ref="AB77:AC77"/>
    <mergeCell ref="X77:Y77"/>
    <mergeCell ref="Z77:AA77"/>
    <mergeCell ref="T78:U78"/>
    <mergeCell ref="P77:Q77"/>
    <mergeCell ref="A77:C77"/>
    <mergeCell ref="D77:F77"/>
    <mergeCell ref="G77:I77"/>
    <mergeCell ref="J77:K77"/>
    <mergeCell ref="N78:O78"/>
    <mergeCell ref="P78:Q78"/>
    <mergeCell ref="R77:S77"/>
    <mergeCell ref="T77:U77"/>
    <mergeCell ref="R78:S78"/>
    <mergeCell ref="A78:C78"/>
    <mergeCell ref="D78:F78"/>
    <mergeCell ref="G78:I78"/>
    <mergeCell ref="J78:K78"/>
    <mergeCell ref="L78:M78"/>
    <mergeCell ref="V78:W78"/>
    <mergeCell ref="X78:Y78"/>
    <mergeCell ref="Z78:AA78"/>
    <mergeCell ref="AB75:AC75"/>
    <mergeCell ref="X33:Y33"/>
    <mergeCell ref="Z33:AA33"/>
    <mergeCell ref="AB33:AC33"/>
    <mergeCell ref="N76:O76"/>
    <mergeCell ref="P76:Q76"/>
    <mergeCell ref="Z76:AA76"/>
    <mergeCell ref="L77:M77"/>
    <mergeCell ref="N77:O77"/>
    <mergeCell ref="X76:Y76"/>
    <mergeCell ref="V77:W77"/>
    <mergeCell ref="AB76:AC76"/>
    <mergeCell ref="R76:S76"/>
    <mergeCell ref="T76:U76"/>
    <mergeCell ref="V76:W76"/>
    <mergeCell ref="V31:W31"/>
    <mergeCell ref="X31:Y31"/>
    <mergeCell ref="P75:Q75"/>
    <mergeCell ref="Z31:AA31"/>
    <mergeCell ref="R75:S75"/>
    <mergeCell ref="T75:U75"/>
    <mergeCell ref="V75:W75"/>
    <mergeCell ref="X75:Y75"/>
    <mergeCell ref="Z75:AA75"/>
    <mergeCell ref="V33:W33"/>
    <mergeCell ref="A75:B76"/>
    <mergeCell ref="D75:F75"/>
    <mergeCell ref="G75:I75"/>
    <mergeCell ref="J75:K75"/>
    <mergeCell ref="L75:M75"/>
    <mergeCell ref="N75:O75"/>
    <mergeCell ref="D76:F76"/>
    <mergeCell ref="G76:I76"/>
    <mergeCell ref="J76:K76"/>
    <mergeCell ref="L76:M76"/>
    <mergeCell ref="X28:Y28"/>
    <mergeCell ref="Z28:AA28"/>
    <mergeCell ref="X30:Y30"/>
    <mergeCell ref="Z30:AA30"/>
    <mergeCell ref="AB30:AC30"/>
    <mergeCell ref="A31:A33"/>
    <mergeCell ref="B31:B33"/>
    <mergeCell ref="D31:F31"/>
    <mergeCell ref="G31:I31"/>
    <mergeCell ref="J31:K31"/>
    <mergeCell ref="L31:M31"/>
    <mergeCell ref="N31:O31"/>
    <mergeCell ref="AB31:AC31"/>
    <mergeCell ref="D33:F33"/>
    <mergeCell ref="G33:I33"/>
    <mergeCell ref="J33:K33"/>
    <mergeCell ref="L33:M33"/>
    <mergeCell ref="N33:O33"/>
    <mergeCell ref="P33:Q33"/>
    <mergeCell ref="R33:S33"/>
    <mergeCell ref="T33:U33"/>
    <mergeCell ref="P31:Q31"/>
    <mergeCell ref="R31:S31"/>
    <mergeCell ref="T31:U31"/>
    <mergeCell ref="X27:Y27"/>
    <mergeCell ref="Z27:AA27"/>
    <mergeCell ref="AB27:AC27"/>
    <mergeCell ref="A28:A30"/>
    <mergeCell ref="B28:B30"/>
    <mergeCell ref="D28:F28"/>
    <mergeCell ref="G28:I28"/>
    <mergeCell ref="J28:K28"/>
    <mergeCell ref="L28:M28"/>
    <mergeCell ref="N28:O28"/>
    <mergeCell ref="AB28:AC28"/>
    <mergeCell ref="D30:F30"/>
    <mergeCell ref="G30:I30"/>
    <mergeCell ref="J30:K30"/>
    <mergeCell ref="L30:M30"/>
    <mergeCell ref="N30:O30"/>
    <mergeCell ref="P30:Q30"/>
    <mergeCell ref="R30:S30"/>
    <mergeCell ref="T30:U30"/>
    <mergeCell ref="V30:W30"/>
    <mergeCell ref="P28:Q28"/>
    <mergeCell ref="R28:S28"/>
    <mergeCell ref="T28:U28"/>
    <mergeCell ref="V28:W28"/>
    <mergeCell ref="AB24:AC24"/>
    <mergeCell ref="A25:A27"/>
    <mergeCell ref="B25:B27"/>
    <mergeCell ref="D25:F25"/>
    <mergeCell ref="G25:I25"/>
    <mergeCell ref="J25:K25"/>
    <mergeCell ref="L25:M25"/>
    <mergeCell ref="N25:O25"/>
    <mergeCell ref="AB25:AC25"/>
    <mergeCell ref="D27:F27"/>
    <mergeCell ref="G27:I27"/>
    <mergeCell ref="J27:K27"/>
    <mergeCell ref="L27:M27"/>
    <mergeCell ref="N27:O27"/>
    <mergeCell ref="P27:Q27"/>
    <mergeCell ref="R27:S27"/>
    <mergeCell ref="T27:U27"/>
    <mergeCell ref="V27:W27"/>
    <mergeCell ref="P25:Q25"/>
    <mergeCell ref="R25:S25"/>
    <mergeCell ref="T25:U25"/>
    <mergeCell ref="V25:W25"/>
    <mergeCell ref="X25:Y25"/>
    <mergeCell ref="Z25:AA25"/>
    <mergeCell ref="V24:W24"/>
    <mergeCell ref="P22:Q22"/>
    <mergeCell ref="R22:S22"/>
    <mergeCell ref="T22:U22"/>
    <mergeCell ref="V22:W22"/>
    <mergeCell ref="X22:Y22"/>
    <mergeCell ref="Z22:AA22"/>
    <mergeCell ref="X24:Y24"/>
    <mergeCell ref="Z24:AA24"/>
    <mergeCell ref="R19:S19"/>
    <mergeCell ref="T19:U19"/>
    <mergeCell ref="V19:W19"/>
    <mergeCell ref="X19:Y19"/>
    <mergeCell ref="Z19:AA19"/>
    <mergeCell ref="X21:Y21"/>
    <mergeCell ref="Z21:AA21"/>
    <mergeCell ref="AB21:AC21"/>
    <mergeCell ref="A22:A24"/>
    <mergeCell ref="B22:B24"/>
    <mergeCell ref="D22:F22"/>
    <mergeCell ref="G22:I22"/>
    <mergeCell ref="J22:K22"/>
    <mergeCell ref="L22:M22"/>
    <mergeCell ref="N22:O22"/>
    <mergeCell ref="AB22:AC22"/>
    <mergeCell ref="D24:F24"/>
    <mergeCell ref="G24:I24"/>
    <mergeCell ref="J24:K24"/>
    <mergeCell ref="L24:M24"/>
    <mergeCell ref="N24:O24"/>
    <mergeCell ref="P24:Q24"/>
    <mergeCell ref="R24:S24"/>
    <mergeCell ref="T24:U24"/>
    <mergeCell ref="V16:W16"/>
    <mergeCell ref="X16:Y16"/>
    <mergeCell ref="Z16:AA16"/>
    <mergeCell ref="X18:Y18"/>
    <mergeCell ref="Z18:AA18"/>
    <mergeCell ref="AB18:AC18"/>
    <mergeCell ref="A19:A21"/>
    <mergeCell ref="B19:B21"/>
    <mergeCell ref="D19:F19"/>
    <mergeCell ref="G19:I19"/>
    <mergeCell ref="J19:K19"/>
    <mergeCell ref="L19:M19"/>
    <mergeCell ref="N19:O19"/>
    <mergeCell ref="AB19:AC19"/>
    <mergeCell ref="D21:F21"/>
    <mergeCell ref="G21:I21"/>
    <mergeCell ref="J21:K21"/>
    <mergeCell ref="L21:M21"/>
    <mergeCell ref="N21:O21"/>
    <mergeCell ref="P21:Q21"/>
    <mergeCell ref="R21:S21"/>
    <mergeCell ref="T21:U21"/>
    <mergeCell ref="V21:W21"/>
    <mergeCell ref="P19:Q19"/>
    <mergeCell ref="Z13:AA13"/>
    <mergeCell ref="X15:Y15"/>
    <mergeCell ref="Z15:AA15"/>
    <mergeCell ref="AB15:AC15"/>
    <mergeCell ref="A16:A18"/>
    <mergeCell ref="B16:B18"/>
    <mergeCell ref="D16:F16"/>
    <mergeCell ref="G16:I16"/>
    <mergeCell ref="J16:K16"/>
    <mergeCell ref="L16:M16"/>
    <mergeCell ref="N16:O16"/>
    <mergeCell ref="AB16:AC16"/>
    <mergeCell ref="D18:F18"/>
    <mergeCell ref="G18:I18"/>
    <mergeCell ref="J18:K18"/>
    <mergeCell ref="L18:M18"/>
    <mergeCell ref="N18:O18"/>
    <mergeCell ref="P18:Q18"/>
    <mergeCell ref="R18:S18"/>
    <mergeCell ref="T18:U18"/>
    <mergeCell ref="V18:W18"/>
    <mergeCell ref="P16:Q16"/>
    <mergeCell ref="R16:S16"/>
    <mergeCell ref="T16:U16"/>
    <mergeCell ref="Z12:AA12"/>
    <mergeCell ref="AB12:AC12"/>
    <mergeCell ref="A13:A15"/>
    <mergeCell ref="B13:B15"/>
    <mergeCell ref="D13:F13"/>
    <mergeCell ref="G13:I13"/>
    <mergeCell ref="J13:K13"/>
    <mergeCell ref="L13:M13"/>
    <mergeCell ref="N13:O13"/>
    <mergeCell ref="AB13:AC13"/>
    <mergeCell ref="D15:F15"/>
    <mergeCell ref="G15:I15"/>
    <mergeCell ref="J15:K15"/>
    <mergeCell ref="L15:M15"/>
    <mergeCell ref="N15:O15"/>
    <mergeCell ref="P15:Q15"/>
    <mergeCell ref="R15:S15"/>
    <mergeCell ref="T15:U15"/>
    <mergeCell ref="V15:W15"/>
    <mergeCell ref="P13:Q13"/>
    <mergeCell ref="R13:S13"/>
    <mergeCell ref="T13:U13"/>
    <mergeCell ref="V13:W13"/>
    <mergeCell ref="X13:Y13"/>
    <mergeCell ref="A10:A12"/>
    <mergeCell ref="B10:B12"/>
    <mergeCell ref="D10:F10"/>
    <mergeCell ref="G10:I10"/>
    <mergeCell ref="J10:K10"/>
    <mergeCell ref="L10:M10"/>
    <mergeCell ref="N10:O10"/>
    <mergeCell ref="AB10:AC10"/>
    <mergeCell ref="D12:F12"/>
    <mergeCell ref="G12:I12"/>
    <mergeCell ref="J12:K12"/>
    <mergeCell ref="L12:M12"/>
    <mergeCell ref="N12:O12"/>
    <mergeCell ref="P12:Q12"/>
    <mergeCell ref="R12:S12"/>
    <mergeCell ref="T12:U12"/>
    <mergeCell ref="V12:W12"/>
    <mergeCell ref="P10:Q10"/>
    <mergeCell ref="R10:S10"/>
    <mergeCell ref="T10:U10"/>
    <mergeCell ref="V10:W10"/>
    <mergeCell ref="X10:Y10"/>
    <mergeCell ref="Z10:AA10"/>
    <mergeCell ref="X12:Y12"/>
    <mergeCell ref="A8:AC8"/>
    <mergeCell ref="D9:F9"/>
    <mergeCell ref="G9:I9"/>
    <mergeCell ref="J9:K9"/>
    <mergeCell ref="L9:M9"/>
    <mergeCell ref="N9:O9"/>
    <mergeCell ref="P9:Q9"/>
    <mergeCell ref="R9:S9"/>
    <mergeCell ref="T9:U9"/>
    <mergeCell ref="V9:W9"/>
    <mergeCell ref="X9:Y9"/>
    <mergeCell ref="Z9:AA9"/>
    <mergeCell ref="AB9:AC9"/>
    <mergeCell ref="C1:N1"/>
    <mergeCell ref="O1:AC1"/>
    <mergeCell ref="C2:N2"/>
    <mergeCell ref="O2:AC5"/>
    <mergeCell ref="C3:N3"/>
    <mergeCell ref="A4:B4"/>
    <mergeCell ref="C4:N4"/>
    <mergeCell ref="A5:B7"/>
    <mergeCell ref="C5:N5"/>
    <mergeCell ref="C6:I6"/>
    <mergeCell ref="J6:N6"/>
    <mergeCell ref="O6:T6"/>
    <mergeCell ref="U6:X6"/>
    <mergeCell ref="Y6:AC6"/>
    <mergeCell ref="C7:I7"/>
    <mergeCell ref="J7:N7"/>
    <mergeCell ref="O7:T7"/>
    <mergeCell ref="U7:X7"/>
    <mergeCell ref="Y7:AC7"/>
  </mergeCells>
  <pageMargins left="0.59055118110236227" right="0.39370078740157483" top="0.39370078740157483" bottom="0.39370078740157483" header="0" footer="0"/>
  <pageSetup paperSize="8" scale="52" orientation="landscape" verticalDpi="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José Geraldo Muniz Lago Filho</dc:creator>
  <cp:keywords/>
  <dc:description/>
  <cp:lastModifiedBy>X</cp:lastModifiedBy>
  <cp:revision/>
  <dcterms:created xsi:type="dcterms:W3CDTF">2012-08-06T14:42:02Z</dcterms:created>
  <dcterms:modified xsi:type="dcterms:W3CDTF">2024-03-26T13:34:59Z</dcterms:modified>
  <cp:category/>
  <cp:contentStatus/>
</cp:coreProperties>
</file>